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innpeacock/Desktop/"/>
    </mc:Choice>
  </mc:AlternateContent>
  <xr:revisionPtr revIDLastSave="0" documentId="13_ncr:1_{00059BFF-433E-B240-91BB-9055114B8037}" xr6:coauthVersionLast="34" xr6:coauthVersionMax="34" xr10:uidLastSave="{00000000-0000-0000-0000-000000000000}"/>
  <bookViews>
    <workbookView xWindow="0" yWindow="460" windowWidth="25600" windowHeight="16020" xr2:uid="{00000000-000D-0000-FFFF-FFFF00000000}"/>
  </bookViews>
  <sheets>
    <sheet name="Pay Cash" sheetId="3" r:id="rId1"/>
    <sheet name="Add to Mortgage" sheetId="2" r:id="rId2"/>
    <sheet name="Finance with Loan" sheetId="1" r:id="rId3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4" i="3" l="1"/>
  <c r="AF14" i="3"/>
  <c r="AB14" i="3"/>
  <c r="Z14" i="3"/>
  <c r="X14" i="3"/>
  <c r="V14" i="3"/>
  <c r="T14" i="3"/>
  <c r="AE14" i="3"/>
  <c r="AC14" i="3"/>
  <c r="AA14" i="3"/>
  <c r="Y14" i="3"/>
  <c r="W14" i="3"/>
  <c r="U14" i="3"/>
  <c r="S14" i="3"/>
  <c r="R14" i="3"/>
  <c r="R13" i="3"/>
  <c r="R8" i="3"/>
  <c r="F53" i="1"/>
  <c r="F53" i="2"/>
  <c r="X63" i="1"/>
  <c r="X64" i="1" s="1"/>
  <c r="F45" i="1" s="1"/>
  <c r="R614" i="1" s="1"/>
  <c r="R8" i="2"/>
  <c r="R9" i="2"/>
  <c r="R10" i="2"/>
  <c r="R11" i="2"/>
  <c r="R12" i="2"/>
  <c r="R13" i="2"/>
  <c r="R14" i="2"/>
  <c r="R15" i="2"/>
  <c r="R16" i="2"/>
  <c r="R17" i="2"/>
  <c r="R18" i="2"/>
  <c r="T8" i="2"/>
  <c r="T9" i="2"/>
  <c r="T10" i="2"/>
  <c r="T11" i="2"/>
  <c r="T18" i="2" s="1"/>
  <c r="T12" i="2"/>
  <c r="T13" i="2"/>
  <c r="T14" i="2"/>
  <c r="T15" i="2"/>
  <c r="T16" i="2"/>
  <c r="T17" i="2"/>
  <c r="V8" i="2"/>
  <c r="V18" i="2" s="1"/>
  <c r="V9" i="2"/>
  <c r="V10" i="2"/>
  <c r="V11" i="2"/>
  <c r="V12" i="2"/>
  <c r="V13" i="2"/>
  <c r="V14" i="2"/>
  <c r="V15" i="2"/>
  <c r="V16" i="2"/>
  <c r="V17" i="2"/>
  <c r="X8" i="2"/>
  <c r="X18" i="2" s="1"/>
  <c r="X9" i="2"/>
  <c r="X10" i="2"/>
  <c r="X11" i="2"/>
  <c r="X12" i="2"/>
  <c r="X13" i="2"/>
  <c r="X14" i="2"/>
  <c r="X15" i="2"/>
  <c r="X16" i="2"/>
  <c r="X17" i="2"/>
  <c r="Z8" i="2"/>
  <c r="Z9" i="2"/>
  <c r="Z10" i="2"/>
  <c r="Z11" i="2"/>
  <c r="Z12" i="2"/>
  <c r="Z13" i="2"/>
  <c r="Z14" i="2"/>
  <c r="Z15" i="2"/>
  <c r="Z16" i="2"/>
  <c r="Z17" i="2"/>
  <c r="Z18" i="2"/>
  <c r="AB8" i="2"/>
  <c r="AB9" i="2"/>
  <c r="AB10" i="2"/>
  <c r="AB11" i="2"/>
  <c r="AB18" i="2" s="1"/>
  <c r="AB12" i="2"/>
  <c r="AB13" i="2"/>
  <c r="AB14" i="2"/>
  <c r="AB15" i="2"/>
  <c r="AB16" i="2"/>
  <c r="AB17" i="2"/>
  <c r="AD8" i="2"/>
  <c r="AD18" i="2" s="1"/>
  <c r="AD9" i="2"/>
  <c r="AD10" i="2"/>
  <c r="AD11" i="2"/>
  <c r="AD12" i="2"/>
  <c r="AD13" i="2"/>
  <c r="AD14" i="2"/>
  <c r="AD15" i="2"/>
  <c r="AD16" i="2"/>
  <c r="AD17" i="2"/>
  <c r="AF8" i="2"/>
  <c r="AF18" i="2" s="1"/>
  <c r="AF9" i="2"/>
  <c r="AF10" i="2"/>
  <c r="AF11" i="2"/>
  <c r="AF12" i="2"/>
  <c r="AF13" i="2"/>
  <c r="AF14" i="2"/>
  <c r="AF15" i="2"/>
  <c r="AF16" i="2"/>
  <c r="AF17" i="2"/>
  <c r="U70" i="2"/>
  <c r="AI8" i="2"/>
  <c r="AI9" i="2"/>
  <c r="AI10" i="2"/>
  <c r="AI11" i="2"/>
  <c r="AI12" i="2"/>
  <c r="AI13" i="2"/>
  <c r="AI14" i="2"/>
  <c r="AI15" i="2"/>
  <c r="U71" i="2"/>
  <c r="U72" i="2"/>
  <c r="U73" i="2"/>
  <c r="U74" i="2"/>
  <c r="U75" i="2"/>
  <c r="U76" i="2"/>
  <c r="U77" i="2"/>
  <c r="U78" i="2"/>
  <c r="U79" i="2"/>
  <c r="U80" i="2"/>
  <c r="U81" i="2"/>
  <c r="X83" i="2"/>
  <c r="W85" i="2"/>
  <c r="U88" i="2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X101" i="2"/>
  <c r="F47" i="3"/>
  <c r="R9" i="3"/>
  <c r="R10" i="3"/>
  <c r="R11" i="3"/>
  <c r="R12" i="3"/>
  <c r="R15" i="3"/>
  <c r="R16" i="3"/>
  <c r="R17" i="3"/>
  <c r="R18" i="3"/>
  <c r="T8" i="3"/>
  <c r="T9" i="3"/>
  <c r="T10" i="3"/>
  <c r="T11" i="3"/>
  <c r="T12" i="3"/>
  <c r="T13" i="3"/>
  <c r="T15" i="3"/>
  <c r="T16" i="3"/>
  <c r="T17" i="3"/>
  <c r="T18" i="3"/>
  <c r="V8" i="3"/>
  <c r="V9" i="3"/>
  <c r="V10" i="3"/>
  <c r="V11" i="3"/>
  <c r="V12" i="3"/>
  <c r="V13" i="3"/>
  <c r="V15" i="3"/>
  <c r="V16" i="3"/>
  <c r="V17" i="3"/>
  <c r="V18" i="3"/>
  <c r="X8" i="3"/>
  <c r="X9" i="3"/>
  <c r="X10" i="3"/>
  <c r="X11" i="3"/>
  <c r="X12" i="3"/>
  <c r="X13" i="3"/>
  <c r="X15" i="3"/>
  <c r="X16" i="3"/>
  <c r="X17" i="3"/>
  <c r="X18" i="3"/>
  <c r="Z8" i="3"/>
  <c r="Z9" i="3"/>
  <c r="Z10" i="3"/>
  <c r="Z11" i="3"/>
  <c r="Z12" i="3"/>
  <c r="Z13" i="3"/>
  <c r="Z15" i="3"/>
  <c r="Z16" i="3"/>
  <c r="Z17" i="3"/>
  <c r="Z18" i="3"/>
  <c r="AB8" i="3"/>
  <c r="AB9" i="3"/>
  <c r="AB10" i="3"/>
  <c r="AB11" i="3"/>
  <c r="AB12" i="3"/>
  <c r="AB13" i="3"/>
  <c r="AB15" i="3"/>
  <c r="AB16" i="3"/>
  <c r="AB17" i="3"/>
  <c r="AB18" i="3"/>
  <c r="AD8" i="3"/>
  <c r="AD9" i="3"/>
  <c r="AD10" i="3"/>
  <c r="AD11" i="3"/>
  <c r="AD12" i="3"/>
  <c r="AD13" i="3"/>
  <c r="AD15" i="3"/>
  <c r="AD16" i="3"/>
  <c r="AD17" i="3"/>
  <c r="AD18" i="3"/>
  <c r="AF8" i="3"/>
  <c r="AF9" i="3"/>
  <c r="AF10" i="3"/>
  <c r="AF11" i="3"/>
  <c r="AF12" i="3"/>
  <c r="AF13" i="3"/>
  <c r="AF15" i="3"/>
  <c r="AF16" i="3"/>
  <c r="AF17" i="3"/>
  <c r="AF18" i="3"/>
  <c r="U71" i="3"/>
  <c r="AI8" i="3"/>
  <c r="AI9" i="3"/>
  <c r="AI10" i="3"/>
  <c r="AI11" i="3"/>
  <c r="AI12" i="3"/>
  <c r="AI13" i="3"/>
  <c r="AI14" i="3"/>
  <c r="AI15" i="3"/>
  <c r="U72" i="3"/>
  <c r="U73" i="3"/>
  <c r="U74" i="3"/>
  <c r="U75" i="3"/>
  <c r="U76" i="3"/>
  <c r="U77" i="3"/>
  <c r="U78" i="3"/>
  <c r="U79" i="3"/>
  <c r="U80" i="3"/>
  <c r="U81" i="3"/>
  <c r="U82" i="3"/>
  <c r="X84" i="3"/>
  <c r="W86" i="3"/>
  <c r="U89" i="3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7" i="3" s="1"/>
  <c r="U108" i="3" s="1"/>
  <c r="U109" i="3" s="1"/>
  <c r="U110" i="3" s="1"/>
  <c r="U111" i="3" s="1"/>
  <c r="U112" i="3" s="1"/>
  <c r="U113" i="3" s="1"/>
  <c r="U114" i="3" s="1"/>
  <c r="U115" i="3" s="1"/>
  <c r="U116" i="3" s="1"/>
  <c r="U117" i="3" s="1"/>
  <c r="U118" i="3" s="1"/>
  <c r="U125" i="3" s="1"/>
  <c r="U126" i="3" s="1"/>
  <c r="U127" i="3" s="1"/>
  <c r="U128" i="3" s="1"/>
  <c r="U129" i="3" s="1"/>
  <c r="U130" i="3" s="1"/>
  <c r="U131" i="3" s="1"/>
  <c r="U132" i="3" s="1"/>
  <c r="U133" i="3" s="1"/>
  <c r="U134" i="3" s="1"/>
  <c r="U135" i="3" s="1"/>
  <c r="U136" i="3" s="1"/>
  <c r="U143" i="3" s="1"/>
  <c r="U144" i="3" s="1"/>
  <c r="U145" i="3" s="1"/>
  <c r="U146" i="3" s="1"/>
  <c r="U147" i="3" s="1"/>
  <c r="U148" i="3" s="1"/>
  <c r="U149" i="3" s="1"/>
  <c r="U150" i="3" s="1"/>
  <c r="U151" i="3" s="1"/>
  <c r="U152" i="3" s="1"/>
  <c r="U153" i="3" s="1"/>
  <c r="U154" i="3" s="1"/>
  <c r="U161" i="3" s="1"/>
  <c r="U162" i="3" s="1"/>
  <c r="U163" i="3" s="1"/>
  <c r="U164" i="3" s="1"/>
  <c r="U165" i="3" s="1"/>
  <c r="U166" i="3" s="1"/>
  <c r="U167" i="3" s="1"/>
  <c r="U168" i="3" s="1"/>
  <c r="U169" i="3" s="1"/>
  <c r="U170" i="3" s="1"/>
  <c r="U171" i="3" s="1"/>
  <c r="U172" i="3" s="1"/>
  <c r="U179" i="3" s="1"/>
  <c r="U180" i="3" s="1"/>
  <c r="U181" i="3" s="1"/>
  <c r="U182" i="3" s="1"/>
  <c r="U183" i="3" s="1"/>
  <c r="U184" i="3" s="1"/>
  <c r="U185" i="3" s="1"/>
  <c r="U186" i="3" s="1"/>
  <c r="U187" i="3" s="1"/>
  <c r="U188" i="3" s="1"/>
  <c r="U189" i="3" s="1"/>
  <c r="U190" i="3" s="1"/>
  <c r="U197" i="3" s="1"/>
  <c r="U198" i="3" s="1"/>
  <c r="U199" i="3" s="1"/>
  <c r="U200" i="3" s="1"/>
  <c r="U201" i="3" s="1"/>
  <c r="U202" i="3" s="1"/>
  <c r="U203" i="3" s="1"/>
  <c r="U204" i="3" s="1"/>
  <c r="U205" i="3" s="1"/>
  <c r="U206" i="3" s="1"/>
  <c r="U207" i="3" s="1"/>
  <c r="U208" i="3" s="1"/>
  <c r="U215" i="3" s="1"/>
  <c r="U216" i="3" s="1"/>
  <c r="U217" i="3" s="1"/>
  <c r="U218" i="3" s="1"/>
  <c r="U219" i="3" s="1"/>
  <c r="U220" i="3" s="1"/>
  <c r="U221" i="3" s="1"/>
  <c r="U222" i="3" s="1"/>
  <c r="U223" i="3" s="1"/>
  <c r="U224" i="3" s="1"/>
  <c r="U225" i="3" s="1"/>
  <c r="U226" i="3" s="1"/>
  <c r="U233" i="3" s="1"/>
  <c r="U234" i="3" s="1"/>
  <c r="U235" i="3" s="1"/>
  <c r="U236" i="3" s="1"/>
  <c r="U237" i="3" s="1"/>
  <c r="U238" i="3" s="1"/>
  <c r="U239" i="3" s="1"/>
  <c r="U240" i="3" s="1"/>
  <c r="U241" i="3" s="1"/>
  <c r="U242" i="3" s="1"/>
  <c r="U243" i="3" s="1"/>
  <c r="U244" i="3" s="1"/>
  <c r="U251" i="3" s="1"/>
  <c r="U252" i="3" s="1"/>
  <c r="U253" i="3" s="1"/>
  <c r="U254" i="3" s="1"/>
  <c r="U255" i="3" s="1"/>
  <c r="U256" i="3" s="1"/>
  <c r="U257" i="3" s="1"/>
  <c r="U258" i="3" s="1"/>
  <c r="U259" i="3" s="1"/>
  <c r="U260" i="3" s="1"/>
  <c r="U261" i="3" s="1"/>
  <c r="U262" i="3" s="1"/>
  <c r="U269" i="3" s="1"/>
  <c r="U270" i="3" s="1"/>
  <c r="U271" i="3" s="1"/>
  <c r="U272" i="3" s="1"/>
  <c r="U273" i="3" s="1"/>
  <c r="U274" i="3" s="1"/>
  <c r="U275" i="3" s="1"/>
  <c r="U276" i="3" s="1"/>
  <c r="U277" i="3" s="1"/>
  <c r="U278" i="3" s="1"/>
  <c r="U279" i="3" s="1"/>
  <c r="U280" i="3" s="1"/>
  <c r="U287" i="3" s="1"/>
  <c r="U288" i="3" s="1"/>
  <c r="U289" i="3" s="1"/>
  <c r="U290" i="3" s="1"/>
  <c r="U291" i="3" s="1"/>
  <c r="U292" i="3" s="1"/>
  <c r="U293" i="3" s="1"/>
  <c r="U294" i="3" s="1"/>
  <c r="U295" i="3" s="1"/>
  <c r="U296" i="3" s="1"/>
  <c r="U297" i="3" s="1"/>
  <c r="U298" i="3" s="1"/>
  <c r="U305" i="3" s="1"/>
  <c r="U306" i="3" s="1"/>
  <c r="U307" i="3" s="1"/>
  <c r="U308" i="3" s="1"/>
  <c r="U309" i="3" s="1"/>
  <c r="U310" i="3" s="1"/>
  <c r="U311" i="3" s="1"/>
  <c r="U312" i="3" s="1"/>
  <c r="U313" i="3" s="1"/>
  <c r="U314" i="3" s="1"/>
  <c r="U315" i="3" s="1"/>
  <c r="U316" i="3" s="1"/>
  <c r="U323" i="3" s="1"/>
  <c r="U324" i="3" s="1"/>
  <c r="U325" i="3" s="1"/>
  <c r="U326" i="3" s="1"/>
  <c r="U327" i="3" s="1"/>
  <c r="U328" i="3" s="1"/>
  <c r="U329" i="3" s="1"/>
  <c r="U330" i="3" s="1"/>
  <c r="U331" i="3" s="1"/>
  <c r="U332" i="3" s="1"/>
  <c r="U333" i="3" s="1"/>
  <c r="U334" i="3" s="1"/>
  <c r="U341" i="3" s="1"/>
  <c r="U342" i="3" s="1"/>
  <c r="U343" i="3" s="1"/>
  <c r="U344" i="3" s="1"/>
  <c r="U345" i="3" s="1"/>
  <c r="U346" i="3" s="1"/>
  <c r="U347" i="3" s="1"/>
  <c r="U348" i="3" s="1"/>
  <c r="U349" i="3" s="1"/>
  <c r="U350" i="3" s="1"/>
  <c r="U351" i="3" s="1"/>
  <c r="U352" i="3" s="1"/>
  <c r="U359" i="3" s="1"/>
  <c r="U360" i="3" s="1"/>
  <c r="U361" i="3" s="1"/>
  <c r="U362" i="3" s="1"/>
  <c r="U363" i="3" s="1"/>
  <c r="U364" i="3" s="1"/>
  <c r="U365" i="3" s="1"/>
  <c r="U366" i="3" s="1"/>
  <c r="U367" i="3" s="1"/>
  <c r="U368" i="3" s="1"/>
  <c r="U369" i="3" s="1"/>
  <c r="U370" i="3" s="1"/>
  <c r="U377" i="3" s="1"/>
  <c r="U378" i="3" s="1"/>
  <c r="U379" i="3" s="1"/>
  <c r="U380" i="3" s="1"/>
  <c r="U381" i="3" s="1"/>
  <c r="U382" i="3" s="1"/>
  <c r="U383" i="3" s="1"/>
  <c r="U384" i="3" s="1"/>
  <c r="U385" i="3" s="1"/>
  <c r="U386" i="3" s="1"/>
  <c r="U387" i="3" s="1"/>
  <c r="U388" i="3" s="1"/>
  <c r="U395" i="3" s="1"/>
  <c r="U396" i="3" s="1"/>
  <c r="U397" i="3" s="1"/>
  <c r="U398" i="3" s="1"/>
  <c r="U399" i="3" s="1"/>
  <c r="U400" i="3" s="1"/>
  <c r="U401" i="3" s="1"/>
  <c r="U402" i="3" s="1"/>
  <c r="U403" i="3" s="1"/>
  <c r="U404" i="3" s="1"/>
  <c r="U405" i="3" s="1"/>
  <c r="U406" i="3" s="1"/>
  <c r="U413" i="3" s="1"/>
  <c r="U414" i="3" s="1"/>
  <c r="U415" i="3" s="1"/>
  <c r="U416" i="3" s="1"/>
  <c r="U417" i="3" s="1"/>
  <c r="U418" i="3" s="1"/>
  <c r="U419" i="3" s="1"/>
  <c r="U420" i="3" s="1"/>
  <c r="U421" i="3" s="1"/>
  <c r="U422" i="3" s="1"/>
  <c r="U423" i="3" s="1"/>
  <c r="U424" i="3" s="1"/>
  <c r="U431" i="3" s="1"/>
  <c r="U432" i="3" s="1"/>
  <c r="U433" i="3" s="1"/>
  <c r="U434" i="3" s="1"/>
  <c r="U435" i="3" s="1"/>
  <c r="U436" i="3" s="1"/>
  <c r="U437" i="3" s="1"/>
  <c r="U438" i="3" s="1"/>
  <c r="U439" i="3" s="1"/>
  <c r="U440" i="3" s="1"/>
  <c r="U441" i="3" s="1"/>
  <c r="U442" i="3" s="1"/>
  <c r="U449" i="3" s="1"/>
  <c r="U450" i="3" s="1"/>
  <c r="U451" i="3" s="1"/>
  <c r="U452" i="3" s="1"/>
  <c r="U453" i="3" s="1"/>
  <c r="U454" i="3" s="1"/>
  <c r="U455" i="3" s="1"/>
  <c r="U456" i="3" s="1"/>
  <c r="U457" i="3" s="1"/>
  <c r="U458" i="3" s="1"/>
  <c r="U459" i="3" s="1"/>
  <c r="U460" i="3" s="1"/>
  <c r="U467" i="3" s="1"/>
  <c r="U468" i="3" s="1"/>
  <c r="U469" i="3" s="1"/>
  <c r="U470" i="3" s="1"/>
  <c r="U471" i="3" s="1"/>
  <c r="U472" i="3" s="1"/>
  <c r="U473" i="3" s="1"/>
  <c r="U474" i="3" s="1"/>
  <c r="U475" i="3" s="1"/>
  <c r="U476" i="3" s="1"/>
  <c r="U477" i="3" s="1"/>
  <c r="U478" i="3" s="1"/>
  <c r="U485" i="3" s="1"/>
  <c r="U486" i="3" s="1"/>
  <c r="U487" i="3" s="1"/>
  <c r="U488" i="3" s="1"/>
  <c r="U489" i="3" s="1"/>
  <c r="U490" i="3" s="1"/>
  <c r="U491" i="3" s="1"/>
  <c r="U492" i="3" s="1"/>
  <c r="U493" i="3" s="1"/>
  <c r="U494" i="3" s="1"/>
  <c r="U495" i="3" s="1"/>
  <c r="U496" i="3" s="1"/>
  <c r="U503" i="3" s="1"/>
  <c r="U504" i="3" s="1"/>
  <c r="U505" i="3" s="1"/>
  <c r="U506" i="3" s="1"/>
  <c r="U507" i="3" s="1"/>
  <c r="U508" i="3" s="1"/>
  <c r="U509" i="3" s="1"/>
  <c r="U510" i="3" s="1"/>
  <c r="U511" i="3" s="1"/>
  <c r="U512" i="3" s="1"/>
  <c r="U513" i="3" s="1"/>
  <c r="U514" i="3" s="1"/>
  <c r="U521" i="3" s="1"/>
  <c r="U522" i="3" s="1"/>
  <c r="U523" i="3" s="1"/>
  <c r="U524" i="3" s="1"/>
  <c r="U525" i="3" s="1"/>
  <c r="U526" i="3" s="1"/>
  <c r="U527" i="3" s="1"/>
  <c r="U528" i="3" s="1"/>
  <c r="U529" i="3" s="1"/>
  <c r="U530" i="3" s="1"/>
  <c r="U531" i="3" s="1"/>
  <c r="U532" i="3" s="1"/>
  <c r="U539" i="3" s="1"/>
  <c r="U540" i="3" s="1"/>
  <c r="U541" i="3" s="1"/>
  <c r="U542" i="3" s="1"/>
  <c r="U543" i="3" s="1"/>
  <c r="U544" i="3" s="1"/>
  <c r="U545" i="3" s="1"/>
  <c r="U546" i="3" s="1"/>
  <c r="U547" i="3" s="1"/>
  <c r="U548" i="3" s="1"/>
  <c r="U549" i="3" s="1"/>
  <c r="U550" i="3" s="1"/>
  <c r="U557" i="3" s="1"/>
  <c r="U558" i="3" s="1"/>
  <c r="U559" i="3" s="1"/>
  <c r="U560" i="3" s="1"/>
  <c r="U561" i="3" s="1"/>
  <c r="U562" i="3" s="1"/>
  <c r="U563" i="3" s="1"/>
  <c r="U564" i="3" s="1"/>
  <c r="U565" i="3" s="1"/>
  <c r="U566" i="3" s="1"/>
  <c r="U567" i="3" s="1"/>
  <c r="U568" i="3" s="1"/>
  <c r="U575" i="3" s="1"/>
  <c r="U576" i="3" s="1"/>
  <c r="U577" i="3" s="1"/>
  <c r="U578" i="3" s="1"/>
  <c r="U579" i="3" s="1"/>
  <c r="U580" i="3" s="1"/>
  <c r="U581" i="3" s="1"/>
  <c r="U582" i="3" s="1"/>
  <c r="U583" i="3" s="1"/>
  <c r="U584" i="3" s="1"/>
  <c r="U585" i="3" s="1"/>
  <c r="U586" i="3" s="1"/>
  <c r="U593" i="3" s="1"/>
  <c r="U594" i="3" s="1"/>
  <c r="U595" i="3" s="1"/>
  <c r="U596" i="3" s="1"/>
  <c r="U597" i="3" s="1"/>
  <c r="U598" i="3" s="1"/>
  <c r="U599" i="3" s="1"/>
  <c r="U600" i="3" s="1"/>
  <c r="U601" i="3" s="1"/>
  <c r="U602" i="3" s="1"/>
  <c r="U603" i="3" s="1"/>
  <c r="U604" i="3" s="1"/>
  <c r="X102" i="3"/>
  <c r="X120" i="3"/>
  <c r="W104" i="3"/>
  <c r="X138" i="3"/>
  <c r="W122" i="3"/>
  <c r="X156" i="3"/>
  <c r="W140" i="3"/>
  <c r="X174" i="3"/>
  <c r="W158" i="3"/>
  <c r="X192" i="3"/>
  <c r="W176" i="3"/>
  <c r="X210" i="3"/>
  <c r="W194" i="3"/>
  <c r="X228" i="3"/>
  <c r="W212" i="3"/>
  <c r="X246" i="3"/>
  <c r="W230" i="3"/>
  <c r="X264" i="3"/>
  <c r="W248" i="3"/>
  <c r="X282" i="3"/>
  <c r="W266" i="3"/>
  <c r="X300" i="3"/>
  <c r="W284" i="3"/>
  <c r="X318" i="3"/>
  <c r="W302" i="3"/>
  <c r="X336" i="3"/>
  <c r="W320" i="3"/>
  <c r="X354" i="3"/>
  <c r="W338" i="3"/>
  <c r="X372" i="3"/>
  <c r="W356" i="3"/>
  <c r="X390" i="3"/>
  <c r="W374" i="3"/>
  <c r="X408" i="3"/>
  <c r="W392" i="3"/>
  <c r="X426" i="3"/>
  <c r="W410" i="3"/>
  <c r="X444" i="3"/>
  <c r="W428" i="3"/>
  <c r="X462" i="3"/>
  <c r="W446" i="3"/>
  <c r="X480" i="3"/>
  <c r="W464" i="3"/>
  <c r="X498" i="3"/>
  <c r="W482" i="3"/>
  <c r="X516" i="3"/>
  <c r="W500" i="3"/>
  <c r="X534" i="3"/>
  <c r="W518" i="3"/>
  <c r="X552" i="3"/>
  <c r="W536" i="3"/>
  <c r="X570" i="3"/>
  <c r="W554" i="3"/>
  <c r="X588" i="3"/>
  <c r="W572" i="3"/>
  <c r="X606" i="3"/>
  <c r="W590" i="3"/>
  <c r="X63" i="2"/>
  <c r="X64" i="2" s="1"/>
  <c r="F45" i="2" s="1"/>
  <c r="X119" i="2"/>
  <c r="W103" i="2"/>
  <c r="U106" i="2" s="1"/>
  <c r="U107" i="2" s="1"/>
  <c r="U108" i="2"/>
  <c r="U109" i="2" s="1"/>
  <c r="U110" i="2" s="1"/>
  <c r="U111" i="2" s="1"/>
  <c r="U112" i="2" s="1"/>
  <c r="U113" i="2" s="1"/>
  <c r="U114" i="2" s="1"/>
  <c r="U115" i="2" s="1"/>
  <c r="U116" i="2" s="1"/>
  <c r="U117" i="2" s="1"/>
  <c r="U124" i="2" s="1"/>
  <c r="U125" i="2" s="1"/>
  <c r="U126" i="2" s="1"/>
  <c r="U127" i="2" s="1"/>
  <c r="U128" i="2" s="1"/>
  <c r="U129" i="2" s="1"/>
  <c r="U130" i="2" s="1"/>
  <c r="X137" i="2"/>
  <c r="W121" i="2"/>
  <c r="U131" i="2"/>
  <c r="U132" i="2" s="1"/>
  <c r="U133" i="2" s="1"/>
  <c r="U134" i="2" s="1"/>
  <c r="U135" i="2" s="1"/>
  <c r="U142" i="2" s="1"/>
  <c r="U143" i="2" s="1"/>
  <c r="U144" i="2" s="1"/>
  <c r="U145" i="2" s="1"/>
  <c r="U146" i="2" s="1"/>
  <c r="U147" i="2" s="1"/>
  <c r="U148" i="2" s="1"/>
  <c r="U149" i="2" s="1"/>
  <c r="U150" i="2" s="1"/>
  <c r="U151" i="2" s="1"/>
  <c r="U152" i="2" s="1"/>
  <c r="U153" i="2" s="1"/>
  <c r="U160" i="2" s="1"/>
  <c r="U161" i="2" s="1"/>
  <c r="U162" i="2" s="1"/>
  <c r="U163" i="2" s="1"/>
  <c r="U164" i="2" s="1"/>
  <c r="U165" i="2" s="1"/>
  <c r="U166" i="2" s="1"/>
  <c r="U167" i="2" s="1"/>
  <c r="U168" i="2" s="1"/>
  <c r="U169" i="2" s="1"/>
  <c r="U170" i="2" s="1"/>
  <c r="U171" i="2" s="1"/>
  <c r="U178" i="2" s="1"/>
  <c r="U179" i="2" s="1"/>
  <c r="U180" i="2" s="1"/>
  <c r="U181" i="2" s="1"/>
  <c r="X155" i="2"/>
  <c r="W139" i="2"/>
  <c r="X173" i="2"/>
  <c r="W157" i="2"/>
  <c r="X191" i="2"/>
  <c r="W175" i="2"/>
  <c r="U182" i="2"/>
  <c r="U183" i="2" s="1"/>
  <c r="U184" i="2" s="1"/>
  <c r="U185" i="2" s="1"/>
  <c r="U186" i="2" s="1"/>
  <c r="U187" i="2" s="1"/>
  <c r="U188" i="2" s="1"/>
  <c r="U189" i="2" s="1"/>
  <c r="U196" i="2" s="1"/>
  <c r="U197" i="2" s="1"/>
  <c r="U198" i="2" s="1"/>
  <c r="U199" i="2" s="1"/>
  <c r="U200" i="2" s="1"/>
  <c r="U201" i="2" s="1"/>
  <c r="U202" i="2" s="1"/>
  <c r="U203" i="2" s="1"/>
  <c r="U204" i="2" s="1"/>
  <c r="U205" i="2" s="1"/>
  <c r="U206" i="2" s="1"/>
  <c r="U207" i="2" s="1"/>
  <c r="U214" i="2" s="1"/>
  <c r="U215" i="2" s="1"/>
  <c r="U216" i="2" s="1"/>
  <c r="U217" i="2" s="1"/>
  <c r="U218" i="2" s="1"/>
  <c r="U219" i="2" s="1"/>
  <c r="U220" i="2" s="1"/>
  <c r="U221" i="2" s="1"/>
  <c r="U222" i="2" s="1"/>
  <c r="U223" i="2" s="1"/>
  <c r="U224" i="2" s="1"/>
  <c r="U225" i="2" s="1"/>
  <c r="U232" i="2" s="1"/>
  <c r="U233" i="2" s="1"/>
  <c r="U234" i="2" s="1"/>
  <c r="U235" i="2" s="1"/>
  <c r="U236" i="2" s="1"/>
  <c r="U237" i="2" s="1"/>
  <c r="U238" i="2" s="1"/>
  <c r="U239" i="2" s="1"/>
  <c r="U240" i="2" s="1"/>
  <c r="U241" i="2" s="1"/>
  <c r="U242" i="2" s="1"/>
  <c r="U243" i="2" s="1"/>
  <c r="U250" i="2" s="1"/>
  <c r="U251" i="2" s="1"/>
  <c r="U252" i="2" s="1"/>
  <c r="U253" i="2" s="1"/>
  <c r="U254" i="2" s="1"/>
  <c r="U255" i="2" s="1"/>
  <c r="U256" i="2" s="1"/>
  <c r="U257" i="2" s="1"/>
  <c r="U258" i="2" s="1"/>
  <c r="U259" i="2" s="1"/>
  <c r="U260" i="2" s="1"/>
  <c r="U261" i="2" s="1"/>
  <c r="U268" i="2" s="1"/>
  <c r="U269" i="2" s="1"/>
  <c r="U270" i="2" s="1"/>
  <c r="U271" i="2" s="1"/>
  <c r="U272" i="2" s="1"/>
  <c r="U273" i="2" s="1"/>
  <c r="U274" i="2" s="1"/>
  <c r="U275" i="2" s="1"/>
  <c r="U276" i="2" s="1"/>
  <c r="U277" i="2" s="1"/>
  <c r="U278" i="2" s="1"/>
  <c r="U279" i="2" s="1"/>
  <c r="U286" i="2" s="1"/>
  <c r="U287" i="2" s="1"/>
  <c r="U288" i="2" s="1"/>
  <c r="U289" i="2" s="1"/>
  <c r="U290" i="2" s="1"/>
  <c r="U291" i="2" s="1"/>
  <c r="U292" i="2" s="1"/>
  <c r="U293" i="2" s="1"/>
  <c r="U294" i="2" s="1"/>
  <c r="U295" i="2" s="1"/>
  <c r="U296" i="2" s="1"/>
  <c r="U297" i="2" s="1"/>
  <c r="U304" i="2" s="1"/>
  <c r="U305" i="2" s="1"/>
  <c r="U306" i="2" s="1"/>
  <c r="U307" i="2" s="1"/>
  <c r="U308" i="2" s="1"/>
  <c r="U309" i="2" s="1"/>
  <c r="U310" i="2" s="1"/>
  <c r="U311" i="2" s="1"/>
  <c r="U312" i="2" s="1"/>
  <c r="U313" i="2" s="1"/>
  <c r="U314" i="2" s="1"/>
  <c r="U315" i="2" s="1"/>
  <c r="U322" i="2" s="1"/>
  <c r="U323" i="2" s="1"/>
  <c r="U324" i="2" s="1"/>
  <c r="U325" i="2" s="1"/>
  <c r="U326" i="2" s="1"/>
  <c r="U327" i="2" s="1"/>
  <c r="U328" i="2" s="1"/>
  <c r="U329" i="2" s="1"/>
  <c r="U330" i="2" s="1"/>
  <c r="U331" i="2" s="1"/>
  <c r="U332" i="2" s="1"/>
  <c r="U333" i="2" s="1"/>
  <c r="U340" i="2" s="1"/>
  <c r="U341" i="2" s="1"/>
  <c r="U342" i="2" s="1"/>
  <c r="U343" i="2" s="1"/>
  <c r="U344" i="2" s="1"/>
  <c r="U345" i="2" s="1"/>
  <c r="U346" i="2" s="1"/>
  <c r="U347" i="2" s="1"/>
  <c r="U348" i="2" s="1"/>
  <c r="U349" i="2" s="1"/>
  <c r="U350" i="2" s="1"/>
  <c r="U351" i="2" s="1"/>
  <c r="U358" i="2" s="1"/>
  <c r="U359" i="2" s="1"/>
  <c r="U360" i="2" s="1"/>
  <c r="U361" i="2" s="1"/>
  <c r="U362" i="2" s="1"/>
  <c r="U363" i="2" s="1"/>
  <c r="U364" i="2" s="1"/>
  <c r="U365" i="2" s="1"/>
  <c r="U366" i="2" s="1"/>
  <c r="U367" i="2" s="1"/>
  <c r="U368" i="2" s="1"/>
  <c r="U369" i="2" s="1"/>
  <c r="U376" i="2" s="1"/>
  <c r="U377" i="2" s="1"/>
  <c r="U378" i="2" s="1"/>
  <c r="U379" i="2" s="1"/>
  <c r="U380" i="2" s="1"/>
  <c r="U381" i="2" s="1"/>
  <c r="U382" i="2" s="1"/>
  <c r="U383" i="2" s="1"/>
  <c r="U384" i="2" s="1"/>
  <c r="U385" i="2" s="1"/>
  <c r="U386" i="2" s="1"/>
  <c r="U387" i="2" s="1"/>
  <c r="U394" i="2" s="1"/>
  <c r="U395" i="2" s="1"/>
  <c r="U396" i="2" s="1"/>
  <c r="U397" i="2" s="1"/>
  <c r="U398" i="2" s="1"/>
  <c r="U399" i="2" s="1"/>
  <c r="U400" i="2" s="1"/>
  <c r="U401" i="2" s="1"/>
  <c r="U402" i="2" s="1"/>
  <c r="U403" i="2" s="1"/>
  <c r="U404" i="2" s="1"/>
  <c r="U405" i="2" s="1"/>
  <c r="U412" i="2" s="1"/>
  <c r="U413" i="2" s="1"/>
  <c r="U414" i="2" s="1"/>
  <c r="U415" i="2" s="1"/>
  <c r="U416" i="2" s="1"/>
  <c r="U417" i="2" s="1"/>
  <c r="U418" i="2" s="1"/>
  <c r="U419" i="2" s="1"/>
  <c r="U420" i="2" s="1"/>
  <c r="U421" i="2" s="1"/>
  <c r="U422" i="2" s="1"/>
  <c r="U423" i="2" s="1"/>
  <c r="U430" i="2" s="1"/>
  <c r="U431" i="2" s="1"/>
  <c r="U432" i="2" s="1"/>
  <c r="U433" i="2" s="1"/>
  <c r="U434" i="2" s="1"/>
  <c r="U435" i="2" s="1"/>
  <c r="U436" i="2" s="1"/>
  <c r="U437" i="2" s="1"/>
  <c r="U438" i="2" s="1"/>
  <c r="U439" i="2" s="1"/>
  <c r="U440" i="2" s="1"/>
  <c r="U441" i="2" s="1"/>
  <c r="U448" i="2" s="1"/>
  <c r="U449" i="2" s="1"/>
  <c r="U450" i="2" s="1"/>
  <c r="U451" i="2" s="1"/>
  <c r="U452" i="2" s="1"/>
  <c r="U453" i="2" s="1"/>
  <c r="U454" i="2" s="1"/>
  <c r="U455" i="2" s="1"/>
  <c r="U456" i="2" s="1"/>
  <c r="U457" i="2" s="1"/>
  <c r="U458" i="2" s="1"/>
  <c r="U459" i="2" s="1"/>
  <c r="U466" i="2" s="1"/>
  <c r="U467" i="2" s="1"/>
  <c r="U468" i="2" s="1"/>
  <c r="U469" i="2" s="1"/>
  <c r="U470" i="2" s="1"/>
  <c r="U471" i="2" s="1"/>
  <c r="U472" i="2" s="1"/>
  <c r="U473" i="2" s="1"/>
  <c r="U474" i="2" s="1"/>
  <c r="U475" i="2" s="1"/>
  <c r="U476" i="2" s="1"/>
  <c r="U477" i="2" s="1"/>
  <c r="U484" i="2" s="1"/>
  <c r="U485" i="2" s="1"/>
  <c r="U486" i="2" s="1"/>
  <c r="U487" i="2" s="1"/>
  <c r="U488" i="2" s="1"/>
  <c r="U489" i="2" s="1"/>
  <c r="U490" i="2" s="1"/>
  <c r="U491" i="2" s="1"/>
  <c r="U492" i="2" s="1"/>
  <c r="U493" i="2" s="1"/>
  <c r="U494" i="2" s="1"/>
  <c r="U495" i="2" s="1"/>
  <c r="U502" i="2" s="1"/>
  <c r="U503" i="2" s="1"/>
  <c r="U504" i="2" s="1"/>
  <c r="U505" i="2" s="1"/>
  <c r="U506" i="2" s="1"/>
  <c r="U507" i="2" s="1"/>
  <c r="U508" i="2" s="1"/>
  <c r="U509" i="2" s="1"/>
  <c r="U510" i="2" s="1"/>
  <c r="U511" i="2" s="1"/>
  <c r="U512" i="2" s="1"/>
  <c r="U513" i="2" s="1"/>
  <c r="U520" i="2" s="1"/>
  <c r="U521" i="2" s="1"/>
  <c r="U522" i="2" s="1"/>
  <c r="U523" i="2" s="1"/>
  <c r="U524" i="2" s="1"/>
  <c r="U525" i="2" s="1"/>
  <c r="U526" i="2" s="1"/>
  <c r="U527" i="2" s="1"/>
  <c r="U528" i="2" s="1"/>
  <c r="U529" i="2" s="1"/>
  <c r="U530" i="2" s="1"/>
  <c r="U531" i="2" s="1"/>
  <c r="U538" i="2" s="1"/>
  <c r="U539" i="2" s="1"/>
  <c r="U540" i="2" s="1"/>
  <c r="U541" i="2" s="1"/>
  <c r="U542" i="2" s="1"/>
  <c r="U543" i="2" s="1"/>
  <c r="U544" i="2" s="1"/>
  <c r="U545" i="2" s="1"/>
  <c r="U546" i="2" s="1"/>
  <c r="U547" i="2" s="1"/>
  <c r="U548" i="2" s="1"/>
  <c r="U549" i="2" s="1"/>
  <c r="U556" i="2" s="1"/>
  <c r="U557" i="2" s="1"/>
  <c r="U558" i="2" s="1"/>
  <c r="U559" i="2" s="1"/>
  <c r="U560" i="2" s="1"/>
  <c r="U561" i="2" s="1"/>
  <c r="U562" i="2" s="1"/>
  <c r="U563" i="2" s="1"/>
  <c r="U564" i="2" s="1"/>
  <c r="U565" i="2" s="1"/>
  <c r="U566" i="2" s="1"/>
  <c r="U567" i="2" s="1"/>
  <c r="U574" i="2" s="1"/>
  <c r="U575" i="2" s="1"/>
  <c r="U576" i="2" s="1"/>
  <c r="U577" i="2" s="1"/>
  <c r="U578" i="2" s="1"/>
  <c r="U579" i="2" s="1"/>
  <c r="U580" i="2" s="1"/>
  <c r="U581" i="2" s="1"/>
  <c r="U582" i="2" s="1"/>
  <c r="U583" i="2" s="1"/>
  <c r="U584" i="2" s="1"/>
  <c r="U585" i="2" s="1"/>
  <c r="U592" i="2" s="1"/>
  <c r="U593" i="2" s="1"/>
  <c r="U594" i="2" s="1"/>
  <c r="U595" i="2" s="1"/>
  <c r="U596" i="2" s="1"/>
  <c r="U597" i="2" s="1"/>
  <c r="U598" i="2" s="1"/>
  <c r="U599" i="2" s="1"/>
  <c r="U600" i="2" s="1"/>
  <c r="U601" i="2" s="1"/>
  <c r="U602" i="2" s="1"/>
  <c r="U603" i="2" s="1"/>
  <c r="X209" i="2"/>
  <c r="W193" i="2"/>
  <c r="X227" i="2"/>
  <c r="W211" i="2"/>
  <c r="X245" i="2"/>
  <c r="W229" i="2"/>
  <c r="X263" i="2"/>
  <c r="W247" i="2"/>
  <c r="X281" i="2"/>
  <c r="W265" i="2"/>
  <c r="X299" i="2"/>
  <c r="W283" i="2"/>
  <c r="X317" i="2"/>
  <c r="W301" i="2"/>
  <c r="X335" i="2"/>
  <c r="W319" i="2"/>
  <c r="X353" i="2"/>
  <c r="W337" i="2"/>
  <c r="X371" i="2"/>
  <c r="W355" i="2"/>
  <c r="X389" i="2"/>
  <c r="W373" i="2"/>
  <c r="X407" i="2"/>
  <c r="W391" i="2"/>
  <c r="X425" i="2"/>
  <c r="W409" i="2"/>
  <c r="X443" i="2"/>
  <c r="W427" i="2"/>
  <c r="X461" i="2"/>
  <c r="W445" i="2"/>
  <c r="X479" i="2"/>
  <c r="W463" i="2"/>
  <c r="X497" i="2"/>
  <c r="W481" i="2"/>
  <c r="X515" i="2"/>
  <c r="W499" i="2"/>
  <c r="X533" i="2"/>
  <c r="W517" i="2"/>
  <c r="X551" i="2"/>
  <c r="W535" i="2"/>
  <c r="X569" i="2"/>
  <c r="W553" i="2"/>
  <c r="X587" i="2"/>
  <c r="W571" i="2"/>
  <c r="X605" i="2"/>
  <c r="W589" i="2"/>
  <c r="R8" i="1"/>
  <c r="R9" i="1"/>
  <c r="R10" i="1"/>
  <c r="R11" i="1"/>
  <c r="R12" i="1"/>
  <c r="R13" i="1"/>
  <c r="R14" i="1"/>
  <c r="R15" i="1"/>
  <c r="R16" i="1"/>
  <c r="R17" i="1"/>
  <c r="R18" i="1"/>
  <c r="T8" i="1"/>
  <c r="T9" i="1"/>
  <c r="T10" i="1"/>
  <c r="T11" i="1"/>
  <c r="T12" i="1"/>
  <c r="T13" i="1"/>
  <c r="T14" i="1"/>
  <c r="T15" i="1"/>
  <c r="T16" i="1"/>
  <c r="T17" i="1"/>
  <c r="V8" i="1"/>
  <c r="V9" i="1"/>
  <c r="V10" i="1"/>
  <c r="V11" i="1"/>
  <c r="V12" i="1"/>
  <c r="V13" i="1"/>
  <c r="V14" i="1"/>
  <c r="V15" i="1"/>
  <c r="V16" i="1"/>
  <c r="V17" i="1"/>
  <c r="X8" i="1"/>
  <c r="X9" i="1"/>
  <c r="X10" i="1"/>
  <c r="X11" i="1"/>
  <c r="X12" i="1"/>
  <c r="X13" i="1"/>
  <c r="X14" i="1"/>
  <c r="X15" i="1"/>
  <c r="X16" i="1"/>
  <c r="X17" i="1"/>
  <c r="Z8" i="1"/>
  <c r="Z9" i="1"/>
  <c r="Z10" i="1"/>
  <c r="Z11" i="1"/>
  <c r="Z12" i="1"/>
  <c r="Z13" i="1"/>
  <c r="Z14" i="1"/>
  <c r="Z15" i="1"/>
  <c r="Z16" i="1"/>
  <c r="Z17" i="1"/>
  <c r="AB8" i="1"/>
  <c r="AB9" i="1"/>
  <c r="AB10" i="1"/>
  <c r="AB11" i="1"/>
  <c r="AB12" i="1"/>
  <c r="AB13" i="1"/>
  <c r="AB14" i="1"/>
  <c r="AB15" i="1"/>
  <c r="AB16" i="1"/>
  <c r="AB17" i="1"/>
  <c r="AB18" i="1"/>
  <c r="AD8" i="1"/>
  <c r="AD9" i="1"/>
  <c r="AD10" i="1"/>
  <c r="AD11" i="1"/>
  <c r="AD12" i="1"/>
  <c r="AD13" i="1"/>
  <c r="AD14" i="1"/>
  <c r="AD15" i="1"/>
  <c r="AD16" i="1"/>
  <c r="AD17" i="1"/>
  <c r="AF8" i="1"/>
  <c r="AF9" i="1"/>
  <c r="AF10" i="1"/>
  <c r="AF11" i="1"/>
  <c r="AF12" i="1"/>
  <c r="AF13" i="1"/>
  <c r="AF14" i="1"/>
  <c r="AF15" i="1"/>
  <c r="AF16" i="1"/>
  <c r="AF17" i="1"/>
  <c r="U70" i="1"/>
  <c r="AI8" i="1"/>
  <c r="AI9" i="1"/>
  <c r="AI10" i="1"/>
  <c r="AI11" i="1"/>
  <c r="AI12" i="1"/>
  <c r="AI13" i="1"/>
  <c r="AI14" i="1"/>
  <c r="AI15" i="1"/>
  <c r="U71" i="1"/>
  <c r="U72" i="1"/>
  <c r="U73" i="1"/>
  <c r="U74" i="1"/>
  <c r="U75" i="1"/>
  <c r="U76" i="1"/>
  <c r="U77" i="1"/>
  <c r="U78" i="1"/>
  <c r="U79" i="1"/>
  <c r="U80" i="1"/>
  <c r="U81" i="1"/>
  <c r="X83" i="1"/>
  <c r="W85" i="1"/>
  <c r="U88" i="1" s="1"/>
  <c r="U89" i="1"/>
  <c r="U90" i="1" s="1"/>
  <c r="U91" i="1" s="1"/>
  <c r="U92" i="1" s="1"/>
  <c r="U93" i="1"/>
  <c r="U94" i="1" s="1"/>
  <c r="U95" i="1" s="1"/>
  <c r="U96" i="1" s="1"/>
  <c r="U97" i="1" s="1"/>
  <c r="U98" i="1" s="1"/>
  <c r="U99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X101" i="1"/>
  <c r="W103" i="1"/>
  <c r="X119" i="1"/>
  <c r="W121" i="1"/>
  <c r="X137" i="1"/>
  <c r="W139" i="1"/>
  <c r="U142" i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8" i="1" s="1"/>
  <c r="U359" i="1" s="1"/>
  <c r="U360" i="1" s="1"/>
  <c r="U361" i="1" s="1"/>
  <c r="U362" i="1" s="1"/>
  <c r="U363" i="1" s="1"/>
  <c r="U364" i="1" s="1"/>
  <c r="U365" i="1" s="1"/>
  <c r="U366" i="1" s="1"/>
  <c r="U367" i="1" s="1"/>
  <c r="U368" i="1" s="1"/>
  <c r="U369" i="1" s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94" i="1" s="1"/>
  <c r="U395" i="1" s="1"/>
  <c r="U396" i="1" s="1"/>
  <c r="U397" i="1" s="1"/>
  <c r="U398" i="1" s="1"/>
  <c r="U399" i="1" s="1"/>
  <c r="U400" i="1" s="1"/>
  <c r="U401" i="1" s="1"/>
  <c r="U402" i="1" s="1"/>
  <c r="U403" i="1" s="1"/>
  <c r="U404" i="1" s="1"/>
  <c r="U405" i="1" s="1"/>
  <c r="U412" i="1" s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U440" i="1" s="1"/>
  <c r="U441" i="1" s="1"/>
  <c r="U448" i="1" s="1"/>
  <c r="U449" i="1" s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U477" i="1" s="1"/>
  <c r="U484" i="1" s="1"/>
  <c r="U485" i="1" s="1"/>
  <c r="U486" i="1" s="1"/>
  <c r="U487" i="1" s="1"/>
  <c r="U488" i="1" s="1"/>
  <c r="U489" i="1" s="1"/>
  <c r="U490" i="1" s="1"/>
  <c r="U491" i="1" s="1"/>
  <c r="U492" i="1" s="1"/>
  <c r="U493" i="1" s="1"/>
  <c r="U494" i="1" s="1"/>
  <c r="U495" i="1" s="1"/>
  <c r="U502" i="1" s="1"/>
  <c r="U503" i="1" s="1"/>
  <c r="U504" i="1" s="1"/>
  <c r="U505" i="1" s="1"/>
  <c r="U506" i="1" s="1"/>
  <c r="U507" i="1" s="1"/>
  <c r="U508" i="1" s="1"/>
  <c r="U509" i="1" s="1"/>
  <c r="U510" i="1" s="1"/>
  <c r="U511" i="1" s="1"/>
  <c r="U512" i="1" s="1"/>
  <c r="U513" i="1" s="1"/>
  <c r="U520" i="1" s="1"/>
  <c r="U521" i="1" s="1"/>
  <c r="U522" i="1" s="1"/>
  <c r="U523" i="1" s="1"/>
  <c r="U524" i="1" s="1"/>
  <c r="U525" i="1" s="1"/>
  <c r="U526" i="1" s="1"/>
  <c r="U527" i="1" s="1"/>
  <c r="U528" i="1" s="1"/>
  <c r="U529" i="1" s="1"/>
  <c r="U530" i="1" s="1"/>
  <c r="U531" i="1" s="1"/>
  <c r="U538" i="1" s="1"/>
  <c r="U539" i="1" s="1"/>
  <c r="U540" i="1" s="1"/>
  <c r="U541" i="1" s="1"/>
  <c r="U542" i="1" s="1"/>
  <c r="U543" i="1" s="1"/>
  <c r="U544" i="1" s="1"/>
  <c r="U545" i="1" s="1"/>
  <c r="U546" i="1" s="1"/>
  <c r="U547" i="1" s="1"/>
  <c r="U548" i="1" s="1"/>
  <c r="U549" i="1" s="1"/>
  <c r="U556" i="1" s="1"/>
  <c r="U557" i="1" s="1"/>
  <c r="U558" i="1" s="1"/>
  <c r="U559" i="1" s="1"/>
  <c r="U560" i="1" s="1"/>
  <c r="U561" i="1" s="1"/>
  <c r="U562" i="1" s="1"/>
  <c r="U563" i="1" s="1"/>
  <c r="U564" i="1" s="1"/>
  <c r="U565" i="1" s="1"/>
  <c r="U566" i="1" s="1"/>
  <c r="U567" i="1" s="1"/>
  <c r="U574" i="1" s="1"/>
  <c r="U575" i="1" s="1"/>
  <c r="U576" i="1" s="1"/>
  <c r="U577" i="1" s="1"/>
  <c r="U578" i="1" s="1"/>
  <c r="U579" i="1" s="1"/>
  <c r="U580" i="1" s="1"/>
  <c r="U581" i="1" s="1"/>
  <c r="U582" i="1" s="1"/>
  <c r="U583" i="1" s="1"/>
  <c r="U584" i="1" s="1"/>
  <c r="U585" i="1" s="1"/>
  <c r="U592" i="1" s="1"/>
  <c r="U593" i="1" s="1"/>
  <c r="U594" i="1" s="1"/>
  <c r="U595" i="1" s="1"/>
  <c r="U596" i="1" s="1"/>
  <c r="U597" i="1" s="1"/>
  <c r="U598" i="1" s="1"/>
  <c r="U599" i="1" s="1"/>
  <c r="U600" i="1" s="1"/>
  <c r="U601" i="1" s="1"/>
  <c r="U602" i="1" s="1"/>
  <c r="U603" i="1" s="1"/>
  <c r="X155" i="1"/>
  <c r="W157" i="1"/>
  <c r="X173" i="1"/>
  <c r="W175" i="1"/>
  <c r="X191" i="1"/>
  <c r="W193" i="1"/>
  <c r="X209" i="1"/>
  <c r="W211" i="1"/>
  <c r="X227" i="1"/>
  <c r="W229" i="1"/>
  <c r="X245" i="1"/>
  <c r="W247" i="1"/>
  <c r="X263" i="1"/>
  <c r="W265" i="1"/>
  <c r="X281" i="1"/>
  <c r="W283" i="1"/>
  <c r="X299" i="1"/>
  <c r="W301" i="1"/>
  <c r="X317" i="1"/>
  <c r="W319" i="1"/>
  <c r="X335" i="1"/>
  <c r="W337" i="1"/>
  <c r="X353" i="1"/>
  <c r="W355" i="1"/>
  <c r="X371" i="1"/>
  <c r="W373" i="1"/>
  <c r="X389" i="1"/>
  <c r="W391" i="1"/>
  <c r="X407" i="1"/>
  <c r="W409" i="1"/>
  <c r="X425" i="1"/>
  <c r="W427" i="1"/>
  <c r="X443" i="1"/>
  <c r="W445" i="1"/>
  <c r="X461" i="1"/>
  <c r="W463" i="1"/>
  <c r="X479" i="1"/>
  <c r="W481" i="1"/>
  <c r="X497" i="1"/>
  <c r="W499" i="1"/>
  <c r="X515" i="1"/>
  <c r="W517" i="1"/>
  <c r="X533" i="1"/>
  <c r="W535" i="1"/>
  <c r="X551" i="1"/>
  <c r="W553" i="1"/>
  <c r="X569" i="1"/>
  <c r="W571" i="1"/>
  <c r="X587" i="1"/>
  <c r="W589" i="1"/>
  <c r="X605" i="1"/>
  <c r="Q613" i="3"/>
  <c r="S87" i="2"/>
  <c r="T87" i="2"/>
  <c r="S591" i="2"/>
  <c r="T591" i="2"/>
  <c r="S573" i="2"/>
  <c r="T573" i="2" s="1"/>
  <c r="S555" i="2"/>
  <c r="T555" i="2"/>
  <c r="S537" i="2"/>
  <c r="T537" i="2" s="1"/>
  <c r="S519" i="2"/>
  <c r="T519" i="2"/>
  <c r="S501" i="2"/>
  <c r="T501" i="2" s="1"/>
  <c r="S483" i="2"/>
  <c r="T483" i="2"/>
  <c r="S465" i="2"/>
  <c r="T465" i="2" s="1"/>
  <c r="S447" i="2"/>
  <c r="T447" i="2"/>
  <c r="S429" i="2"/>
  <c r="T429" i="2" s="1"/>
  <c r="S411" i="2"/>
  <c r="T411" i="2"/>
  <c r="S393" i="2"/>
  <c r="T393" i="2" s="1"/>
  <c r="S375" i="2"/>
  <c r="T375" i="2"/>
  <c r="S357" i="2"/>
  <c r="T357" i="2" s="1"/>
  <c r="S339" i="2"/>
  <c r="T339" i="2"/>
  <c r="S321" i="2"/>
  <c r="T321" i="2" s="1"/>
  <c r="S303" i="2"/>
  <c r="T303" i="2"/>
  <c r="S285" i="2"/>
  <c r="T285" i="2" s="1"/>
  <c r="S267" i="2"/>
  <c r="T267" i="2"/>
  <c r="S249" i="2"/>
  <c r="T249" i="2" s="1"/>
  <c r="S231" i="2"/>
  <c r="T231" i="2"/>
  <c r="S213" i="2"/>
  <c r="T213" i="2" s="1"/>
  <c r="S195" i="2"/>
  <c r="T195" i="2"/>
  <c r="S177" i="2"/>
  <c r="T177" i="2" s="1"/>
  <c r="S159" i="2"/>
  <c r="T159" i="2"/>
  <c r="S141" i="2"/>
  <c r="T141" i="2" s="1"/>
  <c r="S123" i="2"/>
  <c r="T123" i="2"/>
  <c r="S105" i="2"/>
  <c r="T105" i="2" s="1"/>
  <c r="S69" i="2"/>
  <c r="T69" i="2"/>
  <c r="Q72" i="3"/>
  <c r="Q73" i="3" s="1"/>
  <c r="Q74" i="3" s="1"/>
  <c r="Q75" i="3"/>
  <c r="Q76" i="3" s="1"/>
  <c r="Q77" i="3" s="1"/>
  <c r="Q78" i="3" s="1"/>
  <c r="Q79" i="3" s="1"/>
  <c r="Q80" i="3" s="1"/>
  <c r="Q81" i="3" s="1"/>
  <c r="Q82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15" i="3" s="1"/>
  <c r="Q216" i="3" s="1"/>
  <c r="Q217" i="3" s="1"/>
  <c r="Q218" i="3" s="1"/>
  <c r="Q219" i="3" s="1"/>
  <c r="Q220" i="3" s="1"/>
  <c r="Q221" i="3" s="1"/>
  <c r="Q222" i="3" s="1"/>
  <c r="Q223" i="3" s="1"/>
  <c r="Q224" i="3" s="1"/>
  <c r="Q225" i="3" s="1"/>
  <c r="Q226" i="3" s="1"/>
  <c r="Q233" i="3" s="1"/>
  <c r="Q234" i="3" s="1"/>
  <c r="Q235" i="3" s="1"/>
  <c r="Q236" i="3" s="1"/>
  <c r="Q237" i="3" s="1"/>
  <c r="Q238" i="3" s="1"/>
  <c r="Q239" i="3" s="1"/>
  <c r="Q240" i="3" s="1"/>
  <c r="Q241" i="3" s="1"/>
  <c r="Q242" i="3" s="1"/>
  <c r="Q243" i="3" s="1"/>
  <c r="Q244" i="3" s="1"/>
  <c r="Q251" i="3" s="1"/>
  <c r="Q252" i="3" s="1"/>
  <c r="Q253" i="3" s="1"/>
  <c r="Q254" i="3" s="1"/>
  <c r="Q255" i="3" s="1"/>
  <c r="Q256" i="3" s="1"/>
  <c r="Q257" i="3" s="1"/>
  <c r="Q258" i="3" s="1"/>
  <c r="Q259" i="3" s="1"/>
  <c r="Q260" i="3" s="1"/>
  <c r="Q261" i="3" s="1"/>
  <c r="Q262" i="3" s="1"/>
  <c r="Q269" i="3" s="1"/>
  <c r="Q270" i="3" s="1"/>
  <c r="Q271" i="3" s="1"/>
  <c r="Q272" i="3" s="1"/>
  <c r="Q273" i="3" s="1"/>
  <c r="Q274" i="3" s="1"/>
  <c r="Q275" i="3" s="1"/>
  <c r="Q276" i="3" s="1"/>
  <c r="Q277" i="3" s="1"/>
  <c r="Q278" i="3" s="1"/>
  <c r="Q279" i="3" s="1"/>
  <c r="Q280" i="3" s="1"/>
  <c r="Q287" i="3" s="1"/>
  <c r="Q288" i="3" s="1"/>
  <c r="Q289" i="3" s="1"/>
  <c r="Q290" i="3" s="1"/>
  <c r="Q291" i="3" s="1"/>
  <c r="Q292" i="3" s="1"/>
  <c r="Q293" i="3" s="1"/>
  <c r="Q294" i="3" s="1"/>
  <c r="Q295" i="3" s="1"/>
  <c r="Q296" i="3" s="1"/>
  <c r="Q297" i="3" s="1"/>
  <c r="Q298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23" i="3" s="1"/>
  <c r="Q324" i="3" s="1"/>
  <c r="Q325" i="3" s="1"/>
  <c r="Q326" i="3" s="1"/>
  <c r="Q327" i="3" s="1"/>
  <c r="Q328" i="3" s="1"/>
  <c r="Q329" i="3" s="1"/>
  <c r="Q330" i="3" s="1"/>
  <c r="Q331" i="3" s="1"/>
  <c r="Q332" i="3" s="1"/>
  <c r="Q333" i="3" s="1"/>
  <c r="Q334" i="3" s="1"/>
  <c r="Q341" i="3" s="1"/>
  <c r="Q342" i="3" s="1"/>
  <c r="Q343" i="3" s="1"/>
  <c r="Q344" i="3" s="1"/>
  <c r="Q345" i="3" s="1"/>
  <c r="Q346" i="3" s="1"/>
  <c r="Q347" i="3" s="1"/>
  <c r="Q348" i="3" s="1"/>
  <c r="Q349" i="3" s="1"/>
  <c r="Q350" i="3" s="1"/>
  <c r="Q351" i="3" s="1"/>
  <c r="Q352" i="3" s="1"/>
  <c r="Q359" i="3" s="1"/>
  <c r="Q360" i="3" s="1"/>
  <c r="Q361" i="3" s="1"/>
  <c r="Q362" i="3" s="1"/>
  <c r="Q363" i="3" s="1"/>
  <c r="Q364" i="3" s="1"/>
  <c r="Q365" i="3" s="1"/>
  <c r="Q366" i="3" s="1"/>
  <c r="Q367" i="3" s="1"/>
  <c r="Q368" i="3" s="1"/>
  <c r="Q369" i="3" s="1"/>
  <c r="Q370" i="3" s="1"/>
  <c r="Q377" i="3" s="1"/>
  <c r="Q378" i="3" s="1"/>
  <c r="Q379" i="3" s="1"/>
  <c r="Q380" i="3" s="1"/>
  <c r="Q381" i="3" s="1"/>
  <c r="Q382" i="3" s="1"/>
  <c r="Q383" i="3" s="1"/>
  <c r="Q384" i="3" s="1"/>
  <c r="Q385" i="3" s="1"/>
  <c r="Q386" i="3" s="1"/>
  <c r="Q387" i="3" s="1"/>
  <c r="Q388" i="3" s="1"/>
  <c r="Q395" i="3" s="1"/>
  <c r="Q396" i="3" s="1"/>
  <c r="Q397" i="3" s="1"/>
  <c r="Q398" i="3" s="1"/>
  <c r="Q399" i="3" s="1"/>
  <c r="Q400" i="3" s="1"/>
  <c r="Q401" i="3" s="1"/>
  <c r="Q402" i="3" s="1"/>
  <c r="Q403" i="3" s="1"/>
  <c r="Q404" i="3" s="1"/>
  <c r="Q405" i="3" s="1"/>
  <c r="Q406" i="3" s="1"/>
  <c r="Q413" i="3" s="1"/>
  <c r="Q414" i="3" s="1"/>
  <c r="Q415" i="3" s="1"/>
  <c r="Q416" i="3" s="1"/>
  <c r="Q417" i="3" s="1"/>
  <c r="Q418" i="3" s="1"/>
  <c r="Q419" i="3" s="1"/>
  <c r="Q420" i="3" s="1"/>
  <c r="Q421" i="3" s="1"/>
  <c r="Q422" i="3" s="1"/>
  <c r="Q423" i="3" s="1"/>
  <c r="Q424" i="3" s="1"/>
  <c r="Q431" i="3" s="1"/>
  <c r="Q432" i="3" s="1"/>
  <c r="Q433" i="3" s="1"/>
  <c r="Q434" i="3" s="1"/>
  <c r="Q435" i="3" s="1"/>
  <c r="Q436" i="3" s="1"/>
  <c r="Q437" i="3" s="1"/>
  <c r="Q438" i="3" s="1"/>
  <c r="Q439" i="3" s="1"/>
  <c r="Q440" i="3" s="1"/>
  <c r="Q441" i="3" s="1"/>
  <c r="Q442" i="3" s="1"/>
  <c r="Q449" i="3" s="1"/>
  <c r="Q450" i="3" s="1"/>
  <c r="Q451" i="3" s="1"/>
  <c r="Q452" i="3" s="1"/>
  <c r="Q453" i="3" s="1"/>
  <c r="Q454" i="3" s="1"/>
  <c r="Q455" i="3" s="1"/>
  <c r="Q456" i="3" s="1"/>
  <c r="Q457" i="3" s="1"/>
  <c r="Q458" i="3" s="1"/>
  <c r="Q459" i="3" s="1"/>
  <c r="Q460" i="3" s="1"/>
  <c r="Q467" i="3" s="1"/>
  <c r="Q468" i="3" s="1"/>
  <c r="Q469" i="3" s="1"/>
  <c r="Q470" i="3" s="1"/>
  <c r="Q471" i="3" s="1"/>
  <c r="Q472" i="3" s="1"/>
  <c r="Q473" i="3" s="1"/>
  <c r="Q474" i="3" s="1"/>
  <c r="Q475" i="3" s="1"/>
  <c r="Q476" i="3" s="1"/>
  <c r="Q477" i="3" s="1"/>
  <c r="Q478" i="3" s="1"/>
  <c r="Q485" i="3" s="1"/>
  <c r="Q486" i="3" s="1"/>
  <c r="Q487" i="3" s="1"/>
  <c r="Q488" i="3" s="1"/>
  <c r="Q489" i="3" s="1"/>
  <c r="Q490" i="3" s="1"/>
  <c r="Q491" i="3" s="1"/>
  <c r="Q492" i="3" s="1"/>
  <c r="Q493" i="3" s="1"/>
  <c r="Q494" i="3" s="1"/>
  <c r="Q495" i="3" s="1"/>
  <c r="Q496" i="3" s="1"/>
  <c r="Q503" i="3" s="1"/>
  <c r="Q504" i="3" s="1"/>
  <c r="Q505" i="3" s="1"/>
  <c r="Q506" i="3" s="1"/>
  <c r="Q507" i="3" s="1"/>
  <c r="Q508" i="3" s="1"/>
  <c r="Q509" i="3" s="1"/>
  <c r="Q510" i="3" s="1"/>
  <c r="Q511" i="3" s="1"/>
  <c r="Q512" i="3" s="1"/>
  <c r="Q513" i="3" s="1"/>
  <c r="Q514" i="3" s="1"/>
  <c r="Q521" i="3" s="1"/>
  <c r="Q522" i="3" s="1"/>
  <c r="Q523" i="3" s="1"/>
  <c r="Q524" i="3" s="1"/>
  <c r="Q525" i="3" s="1"/>
  <c r="Q526" i="3" s="1"/>
  <c r="Q527" i="3" s="1"/>
  <c r="Q528" i="3" s="1"/>
  <c r="Q529" i="3" s="1"/>
  <c r="Q530" i="3" s="1"/>
  <c r="Q531" i="3" s="1"/>
  <c r="Q532" i="3" s="1"/>
  <c r="Q539" i="3" s="1"/>
  <c r="Q540" i="3" s="1"/>
  <c r="Q541" i="3" s="1"/>
  <c r="Q542" i="3" s="1"/>
  <c r="Q543" i="3" s="1"/>
  <c r="Q544" i="3" s="1"/>
  <c r="Q545" i="3" s="1"/>
  <c r="Q546" i="3" s="1"/>
  <c r="Q547" i="3" s="1"/>
  <c r="Q548" i="3" s="1"/>
  <c r="Q549" i="3" s="1"/>
  <c r="Q550" i="3" s="1"/>
  <c r="Q557" i="3" s="1"/>
  <c r="Q558" i="3" s="1"/>
  <c r="Q559" i="3" s="1"/>
  <c r="Q560" i="3" s="1"/>
  <c r="Q561" i="3" s="1"/>
  <c r="Q562" i="3" s="1"/>
  <c r="Q563" i="3" s="1"/>
  <c r="Q564" i="3" s="1"/>
  <c r="Q565" i="3" s="1"/>
  <c r="Q566" i="3" s="1"/>
  <c r="Q567" i="3" s="1"/>
  <c r="Q568" i="3" s="1"/>
  <c r="Q575" i="3" s="1"/>
  <c r="Q576" i="3" s="1"/>
  <c r="Q577" i="3" s="1"/>
  <c r="Q578" i="3" s="1"/>
  <c r="Q579" i="3" s="1"/>
  <c r="Q580" i="3" s="1"/>
  <c r="Q581" i="3" s="1"/>
  <c r="Q582" i="3" s="1"/>
  <c r="Q583" i="3" s="1"/>
  <c r="Q584" i="3" s="1"/>
  <c r="Q585" i="3" s="1"/>
  <c r="Q586" i="3" s="1"/>
  <c r="Q593" i="3" s="1"/>
  <c r="Q594" i="3" s="1"/>
  <c r="Q595" i="3" s="1"/>
  <c r="Q596" i="3" s="1"/>
  <c r="Q597" i="3" s="1"/>
  <c r="Q598" i="3" s="1"/>
  <c r="Q599" i="3" s="1"/>
  <c r="Q600" i="3" s="1"/>
  <c r="Q601" i="3" s="1"/>
  <c r="Q602" i="3" s="1"/>
  <c r="Q603" i="3" s="1"/>
  <c r="Q604" i="3" s="1"/>
  <c r="Q613" i="1"/>
  <c r="S87" i="1"/>
  <c r="S591" i="1"/>
  <c r="S573" i="1"/>
  <c r="S555" i="1"/>
  <c r="T537" i="1"/>
  <c r="S537" i="1"/>
  <c r="S519" i="1"/>
  <c r="S501" i="1"/>
  <c r="S483" i="1"/>
  <c r="T465" i="1"/>
  <c r="S465" i="1"/>
  <c r="S447" i="1"/>
  <c r="S429" i="1"/>
  <c r="S411" i="1"/>
  <c r="T393" i="1"/>
  <c r="S393" i="1"/>
  <c r="S375" i="1"/>
  <c r="S357" i="1"/>
  <c r="S339" i="1"/>
  <c r="T321" i="1"/>
  <c r="S321" i="1"/>
  <c r="S303" i="1"/>
  <c r="S285" i="1"/>
  <c r="S267" i="1"/>
  <c r="T249" i="1"/>
  <c r="S249" i="1"/>
  <c r="S231" i="1"/>
  <c r="T213" i="1"/>
  <c r="S213" i="1"/>
  <c r="S195" i="1"/>
  <c r="T177" i="1"/>
  <c r="S177" i="1"/>
  <c r="T159" i="1"/>
  <c r="S159" i="1"/>
  <c r="S141" i="1"/>
  <c r="T123" i="1"/>
  <c r="S123" i="1"/>
  <c r="T105" i="1"/>
  <c r="S105" i="1"/>
  <c r="T87" i="1"/>
  <c r="T69" i="1"/>
  <c r="S69" i="1"/>
  <c r="Q613" i="2"/>
  <c r="S88" i="3"/>
  <c r="T430" i="3" s="1"/>
  <c r="T70" i="3"/>
  <c r="S70" i="3"/>
  <c r="S448" i="3"/>
  <c r="T592" i="3"/>
  <c r="S592" i="3"/>
  <c r="S574" i="3"/>
  <c r="S556" i="3"/>
  <c r="S538" i="3"/>
  <c r="S520" i="3"/>
  <c r="S502" i="3"/>
  <c r="T484" i="3"/>
  <c r="S484" i="3"/>
  <c r="S466" i="3"/>
  <c r="S430" i="3"/>
  <c r="S412" i="3"/>
  <c r="S394" i="3"/>
  <c r="S376" i="3"/>
  <c r="S358" i="3"/>
  <c r="S340" i="3"/>
  <c r="S322" i="3"/>
  <c r="T304" i="3"/>
  <c r="S304" i="3"/>
  <c r="S286" i="3"/>
  <c r="S268" i="3"/>
  <c r="S250" i="3"/>
  <c r="S232" i="3"/>
  <c r="S214" i="3"/>
  <c r="T196" i="3"/>
  <c r="S196" i="3"/>
  <c r="S178" i="3"/>
  <c r="T160" i="3"/>
  <c r="S160" i="3"/>
  <c r="S142" i="3"/>
  <c r="S124" i="3"/>
  <c r="S106" i="3"/>
  <c r="T88" i="3"/>
  <c r="T376" i="3" l="1"/>
  <c r="T448" i="3"/>
  <c r="T556" i="3"/>
  <c r="T232" i="3"/>
  <c r="T340" i="3"/>
  <c r="T124" i="3"/>
  <c r="T268" i="3"/>
  <c r="T412" i="3"/>
  <c r="T520" i="3"/>
  <c r="Z19" i="3"/>
  <c r="R19" i="3"/>
  <c r="T19" i="3"/>
  <c r="D12" i="2"/>
  <c r="T466" i="3"/>
  <c r="T502" i="3"/>
  <c r="T538" i="3"/>
  <c r="T574" i="3"/>
  <c r="T106" i="3"/>
  <c r="T142" i="3"/>
  <c r="T178" i="3"/>
  <c r="T214" i="3"/>
  <c r="T250" i="3"/>
  <c r="T286" i="3"/>
  <c r="T322" i="3"/>
  <c r="T358" i="3"/>
  <c r="T394" i="3"/>
  <c r="T591" i="1"/>
  <c r="T555" i="1"/>
  <c r="T519" i="1"/>
  <c r="T483" i="1"/>
  <c r="T447" i="1"/>
  <c r="T411" i="1"/>
  <c r="T375" i="1"/>
  <c r="T339" i="1"/>
  <c r="T303" i="1"/>
  <c r="T267" i="1"/>
  <c r="T231" i="1"/>
  <c r="T195" i="1"/>
  <c r="T501" i="1"/>
  <c r="T357" i="1"/>
  <c r="T573" i="1"/>
  <c r="T429" i="1"/>
  <c r="T285" i="1"/>
  <c r="T141" i="1"/>
  <c r="AF18" i="1"/>
  <c r="C29" i="1"/>
  <c r="C29" i="2"/>
  <c r="Z18" i="1"/>
  <c r="T18" i="1"/>
  <c r="D12" i="1" s="1"/>
  <c r="V18" i="1"/>
  <c r="AD18" i="1"/>
  <c r="X18" i="1"/>
  <c r="AF19" i="3"/>
  <c r="V19" i="3"/>
  <c r="AB19" i="3"/>
  <c r="X19" i="3"/>
  <c r="AD19" i="3"/>
  <c r="D12" i="3" l="1"/>
  <c r="U68" i="3" s="1"/>
  <c r="U67" i="1"/>
  <c r="S61" i="1"/>
  <c r="V69" i="3"/>
  <c r="V87" i="3"/>
  <c r="V105" i="3"/>
  <c r="V141" i="3"/>
  <c r="V177" i="3"/>
  <c r="V159" i="3"/>
  <c r="V195" i="3"/>
  <c r="V213" i="3"/>
  <c r="V231" i="3"/>
  <c r="V123" i="3"/>
  <c r="V249" i="3"/>
  <c r="V321" i="3"/>
  <c r="V267" i="3"/>
  <c r="V303" i="3"/>
  <c r="V375" i="3"/>
  <c r="V393" i="3"/>
  <c r="V429" i="3"/>
  <c r="V447" i="3"/>
  <c r="V465" i="3"/>
  <c r="V483" i="3"/>
  <c r="V501" i="3"/>
  <c r="V519" i="3"/>
  <c r="V537" i="3"/>
  <c r="V555" i="3"/>
  <c r="V573" i="3"/>
  <c r="V591" i="3"/>
  <c r="V411" i="3"/>
  <c r="V285" i="3"/>
  <c r="V339" i="3"/>
  <c r="V357" i="3"/>
  <c r="V68" i="2"/>
  <c r="V86" i="2"/>
  <c r="V104" i="2"/>
  <c r="V176" i="2"/>
  <c r="V248" i="2"/>
  <c r="V302" i="2"/>
  <c r="V158" i="2"/>
  <c r="V230" i="2"/>
  <c r="V194" i="2"/>
  <c r="V356" i="2"/>
  <c r="V428" i="2"/>
  <c r="V500" i="2"/>
  <c r="V572" i="2"/>
  <c r="V140" i="2"/>
  <c r="V284" i="2"/>
  <c r="V374" i="2"/>
  <c r="V446" i="2"/>
  <c r="V518" i="2"/>
  <c r="V590" i="2"/>
  <c r="V212" i="2"/>
  <c r="V266" i="2"/>
  <c r="V320" i="2"/>
  <c r="V410" i="2"/>
  <c r="V464" i="2"/>
  <c r="V554" i="2"/>
  <c r="V122" i="2"/>
  <c r="V338" i="2"/>
  <c r="V392" i="2"/>
  <c r="V482" i="2"/>
  <c r="V536" i="2"/>
  <c r="V68" i="1"/>
  <c r="V554" i="1"/>
  <c r="V482" i="1"/>
  <c r="V410" i="1"/>
  <c r="V338" i="1"/>
  <c r="V266" i="1"/>
  <c r="V194" i="1"/>
  <c r="V122" i="1"/>
  <c r="V536" i="1"/>
  <c r="V446" i="1"/>
  <c r="V356" i="1"/>
  <c r="V248" i="1"/>
  <c r="V158" i="1"/>
  <c r="V500" i="1"/>
  <c r="V392" i="1"/>
  <c r="V302" i="1"/>
  <c r="V212" i="1"/>
  <c r="V104" i="1"/>
  <c r="V590" i="1"/>
  <c r="V572" i="1"/>
  <c r="V374" i="1"/>
  <c r="V176" i="1"/>
  <c r="V518" i="1"/>
  <c r="V320" i="1"/>
  <c r="V140" i="1"/>
  <c r="V464" i="1"/>
  <c r="V284" i="1"/>
  <c r="V86" i="1"/>
  <c r="V428" i="1"/>
  <c r="V230" i="1"/>
  <c r="U67" i="2"/>
  <c r="S61" i="2"/>
  <c r="S62" i="3" l="1"/>
  <c r="S61" i="3" s="1"/>
  <c r="S60" i="2"/>
  <c r="S62" i="2"/>
  <c r="S60" i="1"/>
  <c r="S62" i="1"/>
  <c r="S70" i="2"/>
  <c r="S71" i="2"/>
  <c r="V71" i="2" s="1"/>
  <c r="S73" i="2"/>
  <c r="V73" i="2" s="1"/>
  <c r="S75" i="2"/>
  <c r="V75" i="2" s="1"/>
  <c r="S77" i="2"/>
  <c r="V77" i="2" s="1"/>
  <c r="S79" i="2"/>
  <c r="V79" i="2" s="1"/>
  <c r="S81" i="2"/>
  <c r="V81" i="2" s="1"/>
  <c r="U85" i="2"/>
  <c r="T70" i="2"/>
  <c r="T71" i="2"/>
  <c r="W71" i="2" s="1"/>
  <c r="X71" i="2" s="1"/>
  <c r="T73" i="2"/>
  <c r="W73" i="2" s="1"/>
  <c r="X73" i="2" s="1"/>
  <c r="T75" i="2"/>
  <c r="W75" i="2" s="1"/>
  <c r="X75" i="2" s="1"/>
  <c r="T77" i="2"/>
  <c r="W77" i="2" s="1"/>
  <c r="X77" i="2" s="1"/>
  <c r="T79" i="2"/>
  <c r="W79" i="2" s="1"/>
  <c r="X79" i="2" s="1"/>
  <c r="T81" i="2"/>
  <c r="W81" i="2" s="1"/>
  <c r="X81" i="2" s="1"/>
  <c r="S72" i="2"/>
  <c r="V72" i="2" s="1"/>
  <c r="S74" i="2"/>
  <c r="V74" i="2" s="1"/>
  <c r="S76" i="2"/>
  <c r="V76" i="2" s="1"/>
  <c r="S78" i="2"/>
  <c r="V78" i="2" s="1"/>
  <c r="S80" i="2"/>
  <c r="V80" i="2" s="1"/>
  <c r="T74" i="2"/>
  <c r="W74" i="2" s="1"/>
  <c r="X74" i="2" s="1"/>
  <c r="T76" i="2"/>
  <c r="W76" i="2" s="1"/>
  <c r="X76" i="2" s="1"/>
  <c r="T78" i="2"/>
  <c r="W78" i="2" s="1"/>
  <c r="X78" i="2" s="1"/>
  <c r="T80" i="2"/>
  <c r="W80" i="2" s="1"/>
  <c r="X80" i="2" s="1"/>
  <c r="T72" i="2"/>
  <c r="W72" i="2" s="1"/>
  <c r="S72" i="1"/>
  <c r="V72" i="1" s="1"/>
  <c r="S74" i="1"/>
  <c r="V74" i="1" s="1"/>
  <c r="S76" i="1"/>
  <c r="V76" i="1" s="1"/>
  <c r="S78" i="1"/>
  <c r="V78" i="1" s="1"/>
  <c r="S80" i="1"/>
  <c r="V80" i="1" s="1"/>
  <c r="T72" i="1"/>
  <c r="W72" i="1" s="1"/>
  <c r="X72" i="1" s="1"/>
  <c r="T74" i="1"/>
  <c r="W74" i="1" s="1"/>
  <c r="X74" i="1" s="1"/>
  <c r="T76" i="1"/>
  <c r="W76" i="1" s="1"/>
  <c r="T78" i="1"/>
  <c r="W78" i="1" s="1"/>
  <c r="X78" i="1" s="1"/>
  <c r="T80" i="1"/>
  <c r="W80" i="1" s="1"/>
  <c r="X80" i="1" s="1"/>
  <c r="U85" i="1"/>
  <c r="S71" i="1"/>
  <c r="V71" i="1" s="1"/>
  <c r="T75" i="1"/>
  <c r="W75" i="1" s="1"/>
  <c r="S79" i="1"/>
  <c r="V79" i="1" s="1"/>
  <c r="T70" i="1"/>
  <c r="T73" i="1"/>
  <c r="W73" i="1" s="1"/>
  <c r="S77" i="1"/>
  <c r="V77" i="1" s="1"/>
  <c r="T81" i="1"/>
  <c r="W81" i="1" s="1"/>
  <c r="X81" i="1" s="1"/>
  <c r="S73" i="1"/>
  <c r="V73" i="1" s="1"/>
  <c r="S75" i="1"/>
  <c r="V75" i="1" s="1"/>
  <c r="T77" i="1"/>
  <c r="W77" i="1" s="1"/>
  <c r="X77" i="1" s="1"/>
  <c r="T79" i="1"/>
  <c r="W79" i="1" s="1"/>
  <c r="X79" i="1" s="1"/>
  <c r="S70" i="1"/>
  <c r="S81" i="1"/>
  <c r="V81" i="1" s="1"/>
  <c r="T71" i="1"/>
  <c r="W71" i="1" s="1"/>
  <c r="X71" i="1" s="1"/>
  <c r="S73" i="3"/>
  <c r="V73" i="3" s="1"/>
  <c r="S75" i="3"/>
  <c r="V75" i="3" s="1"/>
  <c r="S77" i="3"/>
  <c r="V77" i="3" s="1"/>
  <c r="S79" i="3"/>
  <c r="V79" i="3" s="1"/>
  <c r="S71" i="3"/>
  <c r="S72" i="3"/>
  <c r="V72" i="3" s="1"/>
  <c r="S74" i="3"/>
  <c r="V74" i="3" s="1"/>
  <c r="S76" i="3"/>
  <c r="V76" i="3" s="1"/>
  <c r="S78" i="3"/>
  <c r="V78" i="3" s="1"/>
  <c r="S80" i="3"/>
  <c r="V80" i="3" s="1"/>
  <c r="S82" i="3"/>
  <c r="V82" i="3" s="1"/>
  <c r="U86" i="3"/>
  <c r="T71" i="3"/>
  <c r="S81" i="3"/>
  <c r="V81" i="3" s="1"/>
  <c r="T73" i="3"/>
  <c r="W73" i="3" s="1"/>
  <c r="T77" i="3"/>
  <c r="W77" i="3" s="1"/>
  <c r="T81" i="3"/>
  <c r="W81" i="3" s="1"/>
  <c r="T82" i="3"/>
  <c r="W82" i="3" s="1"/>
  <c r="T72" i="3"/>
  <c r="W72" i="3" s="1"/>
  <c r="T76" i="3"/>
  <c r="W76" i="3" s="1"/>
  <c r="X76" i="3" s="1"/>
  <c r="T80" i="3"/>
  <c r="W80" i="3" s="1"/>
  <c r="T75" i="3"/>
  <c r="W75" i="3" s="1"/>
  <c r="X75" i="3" s="1"/>
  <c r="T79" i="3"/>
  <c r="W79" i="3" s="1"/>
  <c r="T78" i="3"/>
  <c r="W78" i="3" s="1"/>
  <c r="Y68" i="3"/>
  <c r="T74" i="3"/>
  <c r="W74" i="3" s="1"/>
  <c r="X73" i="3" l="1"/>
  <c r="X78" i="3"/>
  <c r="X77" i="3"/>
  <c r="X72" i="3"/>
  <c r="X80" i="3"/>
  <c r="X81" i="3"/>
  <c r="S90" i="3"/>
  <c r="V90" i="3" s="1"/>
  <c r="S92" i="3"/>
  <c r="V92" i="3" s="1"/>
  <c r="S94" i="3"/>
  <c r="V94" i="3" s="1"/>
  <c r="S96" i="3"/>
  <c r="V96" i="3" s="1"/>
  <c r="S98" i="3"/>
  <c r="V98" i="3" s="1"/>
  <c r="S100" i="3"/>
  <c r="V100" i="3" s="1"/>
  <c r="T89" i="3"/>
  <c r="T93" i="3"/>
  <c r="W93" i="3" s="1"/>
  <c r="T94" i="3"/>
  <c r="W94" i="3" s="1"/>
  <c r="S97" i="3"/>
  <c r="V97" i="3" s="1"/>
  <c r="T92" i="3"/>
  <c r="W92" i="3" s="1"/>
  <c r="S95" i="3"/>
  <c r="V95" i="3" s="1"/>
  <c r="T98" i="3"/>
  <c r="W98" i="3" s="1"/>
  <c r="T99" i="3"/>
  <c r="W99" i="3" s="1"/>
  <c r="U104" i="3"/>
  <c r="T90" i="3"/>
  <c r="W90" i="3" s="1"/>
  <c r="T91" i="3"/>
  <c r="W91" i="3" s="1"/>
  <c r="S93" i="3"/>
  <c r="V93" i="3" s="1"/>
  <c r="T96" i="3"/>
  <c r="W96" i="3" s="1"/>
  <c r="T97" i="3"/>
  <c r="W97" i="3" s="1"/>
  <c r="S99" i="3"/>
  <c r="V99" i="3" s="1"/>
  <c r="S89" i="3"/>
  <c r="T95" i="3"/>
  <c r="W95" i="3" s="1"/>
  <c r="T100" i="3"/>
  <c r="W100" i="3" s="1"/>
  <c r="S91" i="3"/>
  <c r="V91" i="3" s="1"/>
  <c r="U85" i="3"/>
  <c r="Y86" i="3"/>
  <c r="V70" i="1"/>
  <c r="V82" i="1" s="1"/>
  <c r="S82" i="1"/>
  <c r="W70" i="1"/>
  <c r="T82" i="1"/>
  <c r="S89" i="2"/>
  <c r="V89" i="2" s="1"/>
  <c r="S91" i="2"/>
  <c r="V91" i="2" s="1"/>
  <c r="S93" i="2"/>
  <c r="V93" i="2" s="1"/>
  <c r="S95" i="2"/>
  <c r="V95" i="2" s="1"/>
  <c r="S97" i="2"/>
  <c r="V97" i="2" s="1"/>
  <c r="S99" i="2"/>
  <c r="V99" i="2" s="1"/>
  <c r="T88" i="2"/>
  <c r="S88" i="2"/>
  <c r="T89" i="2"/>
  <c r="W89" i="2" s="1"/>
  <c r="X89" i="2" s="1"/>
  <c r="T91" i="2"/>
  <c r="W91" i="2" s="1"/>
  <c r="X91" i="2" s="1"/>
  <c r="T93" i="2"/>
  <c r="W93" i="2" s="1"/>
  <c r="X93" i="2" s="1"/>
  <c r="T95" i="2"/>
  <c r="W95" i="2" s="1"/>
  <c r="X95" i="2" s="1"/>
  <c r="T97" i="2"/>
  <c r="W97" i="2" s="1"/>
  <c r="X97" i="2" s="1"/>
  <c r="T99" i="2"/>
  <c r="W99" i="2" s="1"/>
  <c r="X99" i="2" s="1"/>
  <c r="S90" i="2"/>
  <c r="V90" i="2" s="1"/>
  <c r="S92" i="2"/>
  <c r="V92" i="2" s="1"/>
  <c r="S94" i="2"/>
  <c r="V94" i="2" s="1"/>
  <c r="S96" i="2"/>
  <c r="V96" i="2" s="1"/>
  <c r="S98" i="2"/>
  <c r="V98" i="2" s="1"/>
  <c r="T96" i="2"/>
  <c r="W96" i="2" s="1"/>
  <c r="X96" i="2" s="1"/>
  <c r="T92" i="2"/>
  <c r="W92" i="2" s="1"/>
  <c r="T98" i="2"/>
  <c r="W98" i="2" s="1"/>
  <c r="T94" i="2"/>
  <c r="W94" i="2" s="1"/>
  <c r="X94" i="2" s="1"/>
  <c r="T90" i="2"/>
  <c r="W90" i="2" s="1"/>
  <c r="X90" i="2" s="1"/>
  <c r="U103" i="2"/>
  <c r="X74" i="3"/>
  <c r="X82" i="3"/>
  <c r="X75" i="1"/>
  <c r="S89" i="1"/>
  <c r="V89" i="1" s="1"/>
  <c r="S91" i="1"/>
  <c r="V91" i="1" s="1"/>
  <c r="S93" i="1"/>
  <c r="V93" i="1" s="1"/>
  <c r="S95" i="1"/>
  <c r="V95" i="1" s="1"/>
  <c r="S97" i="1"/>
  <c r="V97" i="1" s="1"/>
  <c r="S99" i="1"/>
  <c r="V99" i="1" s="1"/>
  <c r="T89" i="1"/>
  <c r="W89" i="1" s="1"/>
  <c r="X89" i="1" s="1"/>
  <c r="T91" i="1"/>
  <c r="W91" i="1" s="1"/>
  <c r="X91" i="1" s="1"/>
  <c r="T93" i="1"/>
  <c r="W93" i="1" s="1"/>
  <c r="T95" i="1"/>
  <c r="W95" i="1" s="1"/>
  <c r="T97" i="1"/>
  <c r="W97" i="1" s="1"/>
  <c r="X97" i="1" s="1"/>
  <c r="T99" i="1"/>
  <c r="W99" i="1" s="1"/>
  <c r="X99" i="1" s="1"/>
  <c r="T92" i="1"/>
  <c r="W92" i="1" s="1"/>
  <c r="T96" i="1"/>
  <c r="W96" i="1" s="1"/>
  <c r="S88" i="1"/>
  <c r="S92" i="1"/>
  <c r="V92" i="1" s="1"/>
  <c r="S96" i="1"/>
  <c r="V96" i="1" s="1"/>
  <c r="S94" i="1"/>
  <c r="V94" i="1" s="1"/>
  <c r="T88" i="1"/>
  <c r="T90" i="1"/>
  <c r="W90" i="1" s="1"/>
  <c r="X90" i="1" s="1"/>
  <c r="T98" i="1"/>
  <c r="W98" i="1" s="1"/>
  <c r="S90" i="1"/>
  <c r="V90" i="1" s="1"/>
  <c r="S98" i="1"/>
  <c r="V98" i="1" s="1"/>
  <c r="U103" i="1"/>
  <c r="T94" i="1"/>
  <c r="W94" i="1" s="1"/>
  <c r="X94" i="1" s="1"/>
  <c r="X79" i="3"/>
  <c r="T83" i="3"/>
  <c r="W71" i="3"/>
  <c r="V71" i="3"/>
  <c r="V83" i="3" s="1"/>
  <c r="S83" i="3"/>
  <c r="X73" i="1"/>
  <c r="X76" i="1"/>
  <c r="X72" i="2"/>
  <c r="W70" i="2"/>
  <c r="T82" i="2"/>
  <c r="V70" i="2"/>
  <c r="V82" i="2" s="1"/>
  <c r="S82" i="2"/>
  <c r="X98" i="3" l="1"/>
  <c r="X99" i="3"/>
  <c r="X95" i="3"/>
  <c r="X90" i="3"/>
  <c r="X96" i="3"/>
  <c r="X92" i="3"/>
  <c r="X71" i="3"/>
  <c r="X83" i="3" s="1"/>
  <c r="W83" i="3"/>
  <c r="T106" i="1"/>
  <c r="S106" i="1"/>
  <c r="S108" i="1"/>
  <c r="V108" i="1" s="1"/>
  <c r="S110" i="1"/>
  <c r="V110" i="1" s="1"/>
  <c r="S112" i="1"/>
  <c r="V112" i="1" s="1"/>
  <c r="S114" i="1"/>
  <c r="V114" i="1" s="1"/>
  <c r="S116" i="1"/>
  <c r="V116" i="1" s="1"/>
  <c r="T108" i="1"/>
  <c r="W108" i="1" s="1"/>
  <c r="X108" i="1" s="1"/>
  <c r="T110" i="1"/>
  <c r="W110" i="1" s="1"/>
  <c r="X110" i="1" s="1"/>
  <c r="T112" i="1"/>
  <c r="W112" i="1" s="1"/>
  <c r="X112" i="1" s="1"/>
  <c r="T114" i="1"/>
  <c r="W114" i="1" s="1"/>
  <c r="T116" i="1"/>
  <c r="W116" i="1" s="1"/>
  <c r="X116" i="1" s="1"/>
  <c r="U121" i="1"/>
  <c r="T107" i="1"/>
  <c r="W107" i="1" s="1"/>
  <c r="X107" i="1" s="1"/>
  <c r="T111" i="1"/>
  <c r="W111" i="1" s="1"/>
  <c r="T115" i="1"/>
  <c r="W115" i="1" s="1"/>
  <c r="X115" i="1" s="1"/>
  <c r="S107" i="1"/>
  <c r="V107" i="1" s="1"/>
  <c r="S111" i="1"/>
  <c r="V111" i="1" s="1"/>
  <c r="S115" i="1"/>
  <c r="V115" i="1" s="1"/>
  <c r="S113" i="1"/>
  <c r="V113" i="1" s="1"/>
  <c r="T109" i="1"/>
  <c r="W109" i="1" s="1"/>
  <c r="X109" i="1" s="1"/>
  <c r="T117" i="1"/>
  <c r="W117" i="1" s="1"/>
  <c r="X117" i="1" s="1"/>
  <c r="S109" i="1"/>
  <c r="V109" i="1" s="1"/>
  <c r="S117" i="1"/>
  <c r="V117" i="1" s="1"/>
  <c r="T113" i="1"/>
  <c r="W113" i="1" s="1"/>
  <c r="X113" i="1" s="1"/>
  <c r="V88" i="2"/>
  <c r="V100" i="2" s="1"/>
  <c r="S100" i="2"/>
  <c r="T107" i="3"/>
  <c r="S107" i="3"/>
  <c r="T108" i="3"/>
  <c r="W108" i="3" s="1"/>
  <c r="T110" i="3"/>
  <c r="W110" i="3" s="1"/>
  <c r="T112" i="3"/>
  <c r="W112" i="3" s="1"/>
  <c r="T114" i="3"/>
  <c r="W114" i="3" s="1"/>
  <c r="S108" i="3"/>
  <c r="V108" i="3" s="1"/>
  <c r="S109" i="3"/>
  <c r="V109" i="3" s="1"/>
  <c r="T113" i="3"/>
  <c r="W113" i="3" s="1"/>
  <c r="T117" i="3"/>
  <c r="W117" i="3" s="1"/>
  <c r="T111" i="3"/>
  <c r="W111" i="3" s="1"/>
  <c r="S113" i="3"/>
  <c r="V113" i="3" s="1"/>
  <c r="S114" i="3"/>
  <c r="V114" i="3" s="1"/>
  <c r="S117" i="3"/>
  <c r="V117" i="3" s="1"/>
  <c r="S118" i="3"/>
  <c r="V118" i="3" s="1"/>
  <c r="T109" i="3"/>
  <c r="W109" i="3" s="1"/>
  <c r="X109" i="3" s="1"/>
  <c r="S111" i="3"/>
  <c r="V111" i="3" s="1"/>
  <c r="S112" i="3"/>
  <c r="V112" i="3" s="1"/>
  <c r="T115" i="3"/>
  <c r="W115" i="3" s="1"/>
  <c r="T116" i="3"/>
  <c r="W116" i="3" s="1"/>
  <c r="T118" i="3"/>
  <c r="W118" i="3" s="1"/>
  <c r="S116" i="3"/>
  <c r="V116" i="3" s="1"/>
  <c r="U122" i="3"/>
  <c r="S115" i="3"/>
  <c r="V115" i="3" s="1"/>
  <c r="S110" i="3"/>
  <c r="V110" i="3" s="1"/>
  <c r="Y104" i="3"/>
  <c r="W89" i="3"/>
  <c r="T101" i="3"/>
  <c r="V88" i="1"/>
  <c r="V100" i="1" s="1"/>
  <c r="S100" i="1"/>
  <c r="W88" i="2"/>
  <c r="T100" i="2"/>
  <c r="X70" i="1"/>
  <c r="X82" i="1" s="1"/>
  <c r="W82" i="1"/>
  <c r="V89" i="3"/>
  <c r="V101" i="3" s="1"/>
  <c r="S101" i="3"/>
  <c r="X70" i="2"/>
  <c r="X82" i="2" s="1"/>
  <c r="W82" i="2"/>
  <c r="X96" i="1"/>
  <c r="X95" i="1"/>
  <c r="X98" i="2"/>
  <c r="X91" i="3"/>
  <c r="X94" i="3"/>
  <c r="W88" i="1"/>
  <c r="T100" i="1"/>
  <c r="R82" i="2"/>
  <c r="X98" i="1"/>
  <c r="X92" i="1"/>
  <c r="X93" i="1"/>
  <c r="S108" i="2"/>
  <c r="V108" i="2" s="1"/>
  <c r="S110" i="2"/>
  <c r="V110" i="2" s="1"/>
  <c r="S112" i="2"/>
  <c r="V112" i="2" s="1"/>
  <c r="S114" i="2"/>
  <c r="V114" i="2" s="1"/>
  <c r="S116" i="2"/>
  <c r="V116" i="2" s="1"/>
  <c r="T108" i="2"/>
  <c r="W108" i="2" s="1"/>
  <c r="X108" i="2" s="1"/>
  <c r="T110" i="2"/>
  <c r="W110" i="2" s="1"/>
  <c r="T112" i="2"/>
  <c r="W112" i="2" s="1"/>
  <c r="X112" i="2" s="1"/>
  <c r="T114" i="2"/>
  <c r="W114" i="2" s="1"/>
  <c r="X114" i="2" s="1"/>
  <c r="T116" i="2"/>
  <c r="W116" i="2" s="1"/>
  <c r="X116" i="2" s="1"/>
  <c r="U121" i="2"/>
  <c r="T107" i="2"/>
  <c r="W107" i="2" s="1"/>
  <c r="X107" i="2" s="1"/>
  <c r="T111" i="2"/>
  <c r="W111" i="2" s="1"/>
  <c r="X111" i="2" s="1"/>
  <c r="T115" i="2"/>
  <c r="W115" i="2" s="1"/>
  <c r="X115" i="2" s="1"/>
  <c r="S107" i="2"/>
  <c r="V107" i="2" s="1"/>
  <c r="S111" i="2"/>
  <c r="V111" i="2" s="1"/>
  <c r="S115" i="2"/>
  <c r="V115" i="2" s="1"/>
  <c r="S109" i="2"/>
  <c r="V109" i="2" s="1"/>
  <c r="S117" i="2"/>
  <c r="V117" i="2" s="1"/>
  <c r="T106" i="2"/>
  <c r="T113" i="2"/>
  <c r="W113" i="2" s="1"/>
  <c r="S106" i="2"/>
  <c r="T117" i="2"/>
  <c r="W117" i="2" s="1"/>
  <c r="X117" i="2" s="1"/>
  <c r="T109" i="2"/>
  <c r="W109" i="2" s="1"/>
  <c r="S113" i="2"/>
  <c r="V113" i="2" s="1"/>
  <c r="X92" i="2"/>
  <c r="X100" i="3"/>
  <c r="X97" i="3"/>
  <c r="X93" i="3"/>
  <c r="X111" i="3" l="1"/>
  <c r="X114" i="3"/>
  <c r="X115" i="3"/>
  <c r="X113" i="3"/>
  <c r="V106" i="2"/>
  <c r="V118" i="2" s="1"/>
  <c r="S118" i="2"/>
  <c r="X88" i="2"/>
  <c r="X100" i="2" s="1"/>
  <c r="W100" i="2"/>
  <c r="X89" i="3"/>
  <c r="X101" i="3" s="1"/>
  <c r="W101" i="3"/>
  <c r="S127" i="3"/>
  <c r="V127" i="3" s="1"/>
  <c r="S129" i="3"/>
  <c r="V129" i="3" s="1"/>
  <c r="S131" i="3"/>
  <c r="V131" i="3" s="1"/>
  <c r="S133" i="3"/>
  <c r="V133" i="3" s="1"/>
  <c r="S135" i="3"/>
  <c r="V135" i="3" s="1"/>
  <c r="T125" i="3"/>
  <c r="S126" i="3"/>
  <c r="V126" i="3" s="1"/>
  <c r="T130" i="3"/>
  <c r="W130" i="3" s="1"/>
  <c r="T131" i="3"/>
  <c r="W131" i="3" s="1"/>
  <c r="S134" i="3"/>
  <c r="V134" i="3" s="1"/>
  <c r="U140" i="3"/>
  <c r="T126" i="3"/>
  <c r="W126" i="3" s="1"/>
  <c r="S128" i="3"/>
  <c r="V128" i="3" s="1"/>
  <c r="T132" i="3"/>
  <c r="W132" i="3" s="1"/>
  <c r="T133" i="3"/>
  <c r="W133" i="3" s="1"/>
  <c r="S136" i="3"/>
  <c r="V136" i="3" s="1"/>
  <c r="T135" i="3"/>
  <c r="W135" i="3" s="1"/>
  <c r="X135" i="3" s="1"/>
  <c r="T128" i="3"/>
  <c r="W128" i="3" s="1"/>
  <c r="T129" i="3"/>
  <c r="W129" i="3" s="1"/>
  <c r="S132" i="3"/>
  <c r="V132" i="3" s="1"/>
  <c r="T136" i="3"/>
  <c r="W136" i="3" s="1"/>
  <c r="T127" i="3"/>
  <c r="W127" i="3" s="1"/>
  <c r="S130" i="3"/>
  <c r="V130" i="3" s="1"/>
  <c r="T134" i="3"/>
  <c r="W134" i="3" s="1"/>
  <c r="S125" i="3"/>
  <c r="Y122" i="3"/>
  <c r="X108" i="3"/>
  <c r="V106" i="1"/>
  <c r="V118" i="1" s="1"/>
  <c r="S118" i="1"/>
  <c r="X113" i="2"/>
  <c r="X117" i="3"/>
  <c r="V107" i="3"/>
  <c r="V119" i="3" s="1"/>
  <c r="S119" i="3"/>
  <c r="T125" i="1"/>
  <c r="W125" i="1" s="1"/>
  <c r="S125" i="1"/>
  <c r="V125" i="1" s="1"/>
  <c r="S127" i="1"/>
  <c r="V127" i="1" s="1"/>
  <c r="S129" i="1"/>
  <c r="V129" i="1" s="1"/>
  <c r="S131" i="1"/>
  <c r="V131" i="1" s="1"/>
  <c r="S133" i="1"/>
  <c r="V133" i="1" s="1"/>
  <c r="S135" i="1"/>
  <c r="V135" i="1" s="1"/>
  <c r="S124" i="1"/>
  <c r="T127" i="1"/>
  <c r="W127" i="1" s="1"/>
  <c r="T129" i="1"/>
  <c r="W129" i="1" s="1"/>
  <c r="T131" i="1"/>
  <c r="W131" i="1" s="1"/>
  <c r="X131" i="1" s="1"/>
  <c r="T133" i="1"/>
  <c r="W133" i="1" s="1"/>
  <c r="X133" i="1" s="1"/>
  <c r="T135" i="1"/>
  <c r="W135" i="1" s="1"/>
  <c r="S126" i="1"/>
  <c r="V126" i="1" s="1"/>
  <c r="S130" i="1"/>
  <c r="V130" i="1" s="1"/>
  <c r="S134" i="1"/>
  <c r="V134" i="1" s="1"/>
  <c r="U139" i="1"/>
  <c r="T128" i="1"/>
  <c r="W128" i="1" s="1"/>
  <c r="T132" i="1"/>
  <c r="W132" i="1" s="1"/>
  <c r="S128" i="1"/>
  <c r="V128" i="1" s="1"/>
  <c r="T124" i="1"/>
  <c r="T126" i="1"/>
  <c r="W126" i="1" s="1"/>
  <c r="X126" i="1" s="1"/>
  <c r="T134" i="1"/>
  <c r="W134" i="1" s="1"/>
  <c r="S132" i="1"/>
  <c r="V132" i="1" s="1"/>
  <c r="T130" i="1"/>
  <c r="W130" i="1" s="1"/>
  <c r="W106" i="1"/>
  <c r="T118" i="1"/>
  <c r="X109" i="2"/>
  <c r="W106" i="2"/>
  <c r="T118" i="2"/>
  <c r="Y83" i="2"/>
  <c r="R610" i="2" s="1"/>
  <c r="X67" i="2"/>
  <c r="Y83" i="1"/>
  <c r="X67" i="1"/>
  <c r="X118" i="3"/>
  <c r="X112" i="3"/>
  <c r="W107" i="3"/>
  <c r="T119" i="3"/>
  <c r="T126" i="2"/>
  <c r="W126" i="2" s="1"/>
  <c r="T128" i="2"/>
  <c r="W128" i="2" s="1"/>
  <c r="X128" i="2" s="1"/>
  <c r="T130" i="2"/>
  <c r="W130" i="2" s="1"/>
  <c r="T132" i="2"/>
  <c r="W132" i="2" s="1"/>
  <c r="X132" i="2" s="1"/>
  <c r="T134" i="2"/>
  <c r="W134" i="2" s="1"/>
  <c r="X134" i="2" s="1"/>
  <c r="U139" i="2"/>
  <c r="S124" i="2"/>
  <c r="T125" i="2"/>
  <c r="W125" i="2" s="1"/>
  <c r="S125" i="2"/>
  <c r="V125" i="2" s="1"/>
  <c r="S127" i="2"/>
  <c r="V127" i="2" s="1"/>
  <c r="S129" i="2"/>
  <c r="V129" i="2" s="1"/>
  <c r="S131" i="2"/>
  <c r="V131" i="2" s="1"/>
  <c r="S133" i="2"/>
  <c r="V133" i="2" s="1"/>
  <c r="S135" i="2"/>
  <c r="V135" i="2" s="1"/>
  <c r="T124" i="2"/>
  <c r="T129" i="2"/>
  <c r="W129" i="2" s="1"/>
  <c r="X129" i="2" s="1"/>
  <c r="T133" i="2"/>
  <c r="W133" i="2" s="1"/>
  <c r="X133" i="2" s="1"/>
  <c r="S126" i="2"/>
  <c r="V126" i="2" s="1"/>
  <c r="S130" i="2"/>
  <c r="V130" i="2" s="1"/>
  <c r="S134" i="2"/>
  <c r="V134" i="2" s="1"/>
  <c r="T127" i="2"/>
  <c r="W127" i="2" s="1"/>
  <c r="T135" i="2"/>
  <c r="W135" i="2" s="1"/>
  <c r="X135" i="2" s="1"/>
  <c r="S132" i="2"/>
  <c r="V132" i="2" s="1"/>
  <c r="S128" i="2"/>
  <c r="V128" i="2" s="1"/>
  <c r="T131" i="2"/>
  <c r="W131" i="2" s="1"/>
  <c r="X131" i="2" s="1"/>
  <c r="X110" i="2"/>
  <c r="X88" i="1"/>
  <c r="X100" i="1" s="1"/>
  <c r="W100" i="1"/>
  <c r="X116" i="3"/>
  <c r="X110" i="3"/>
  <c r="R100" i="2"/>
  <c r="X111" i="1"/>
  <c r="X114" i="1"/>
  <c r="Y84" i="3"/>
  <c r="X68" i="3"/>
  <c r="X127" i="3" l="1"/>
  <c r="X128" i="3"/>
  <c r="X126" i="3"/>
  <c r="X132" i="3"/>
  <c r="X136" i="3"/>
  <c r="X131" i="3"/>
  <c r="X130" i="3"/>
  <c r="R611" i="3"/>
  <c r="X64" i="3"/>
  <c r="X63" i="3" s="1"/>
  <c r="S63" i="3" s="1"/>
  <c r="U83" i="3"/>
  <c r="S143" i="2"/>
  <c r="V143" i="2" s="1"/>
  <c r="S145" i="2"/>
  <c r="V145" i="2" s="1"/>
  <c r="S147" i="2"/>
  <c r="V147" i="2" s="1"/>
  <c r="S149" i="2"/>
  <c r="V149" i="2" s="1"/>
  <c r="T142" i="2"/>
  <c r="S142" i="2"/>
  <c r="T143" i="2"/>
  <c r="W143" i="2" s="1"/>
  <c r="X143" i="2" s="1"/>
  <c r="T145" i="2"/>
  <c r="W145" i="2" s="1"/>
  <c r="X145" i="2" s="1"/>
  <c r="T147" i="2"/>
  <c r="W147" i="2" s="1"/>
  <c r="T149" i="2"/>
  <c r="W149" i="2" s="1"/>
  <c r="T151" i="2"/>
  <c r="W151" i="2" s="1"/>
  <c r="X151" i="2" s="1"/>
  <c r="S144" i="2"/>
  <c r="V144" i="2" s="1"/>
  <c r="S148" i="2"/>
  <c r="V148" i="2" s="1"/>
  <c r="S151" i="2"/>
  <c r="V151" i="2" s="1"/>
  <c r="S153" i="2"/>
  <c r="V153" i="2" s="1"/>
  <c r="T146" i="2"/>
  <c r="W146" i="2" s="1"/>
  <c r="T150" i="2"/>
  <c r="W150" i="2" s="1"/>
  <c r="T153" i="2"/>
  <c r="W153" i="2" s="1"/>
  <c r="T144" i="2"/>
  <c r="W144" i="2" s="1"/>
  <c r="T148" i="2"/>
  <c r="W148" i="2" s="1"/>
  <c r="X148" i="2" s="1"/>
  <c r="T152" i="2"/>
  <c r="W152" i="2" s="1"/>
  <c r="S152" i="2"/>
  <c r="V152" i="2" s="1"/>
  <c r="U157" i="2"/>
  <c r="S146" i="2"/>
  <c r="V146" i="2" s="1"/>
  <c r="S150" i="2"/>
  <c r="V150" i="2" s="1"/>
  <c r="V124" i="1"/>
  <c r="V136" i="1" s="1"/>
  <c r="S136" i="1"/>
  <c r="W125" i="3"/>
  <c r="T137" i="3"/>
  <c r="X127" i="2"/>
  <c r="X126" i="2"/>
  <c r="R615" i="2"/>
  <c r="R614" i="2" s="1"/>
  <c r="R611" i="2"/>
  <c r="R613" i="2"/>
  <c r="X134" i="1"/>
  <c r="X132" i="1"/>
  <c r="V125" i="3"/>
  <c r="V137" i="3" s="1"/>
  <c r="S137" i="3"/>
  <c r="Y101" i="2"/>
  <c r="X85" i="2"/>
  <c r="X125" i="2"/>
  <c r="X106" i="1"/>
  <c r="X118" i="1" s="1"/>
  <c r="W118" i="1"/>
  <c r="X128" i="1"/>
  <c r="X129" i="1"/>
  <c r="X134" i="3"/>
  <c r="R118" i="2"/>
  <c r="Y69" i="3"/>
  <c r="Y101" i="1"/>
  <c r="X85" i="1"/>
  <c r="W124" i="2"/>
  <c r="T136" i="2"/>
  <c r="V124" i="2"/>
  <c r="V136" i="2" s="1"/>
  <c r="S136" i="2"/>
  <c r="R136" i="2" s="1"/>
  <c r="X130" i="2"/>
  <c r="X107" i="3"/>
  <c r="X119" i="3" s="1"/>
  <c r="W119" i="3"/>
  <c r="R610" i="1"/>
  <c r="U82" i="1"/>
  <c r="X106" i="2"/>
  <c r="X118" i="2" s="1"/>
  <c r="W118" i="2"/>
  <c r="X130" i="1"/>
  <c r="W124" i="1"/>
  <c r="T136" i="1"/>
  <c r="T142" i="1"/>
  <c r="S142" i="1"/>
  <c r="S144" i="1"/>
  <c r="V144" i="1" s="1"/>
  <c r="S146" i="1"/>
  <c r="V146" i="1" s="1"/>
  <c r="S148" i="1"/>
  <c r="V148" i="1" s="1"/>
  <c r="S150" i="1"/>
  <c r="V150" i="1" s="1"/>
  <c r="S152" i="1"/>
  <c r="V152" i="1" s="1"/>
  <c r="T144" i="1"/>
  <c r="W144" i="1" s="1"/>
  <c r="T146" i="1"/>
  <c r="W146" i="1" s="1"/>
  <c r="X146" i="1" s="1"/>
  <c r="T148" i="1"/>
  <c r="W148" i="1" s="1"/>
  <c r="X148" i="1" s="1"/>
  <c r="T150" i="1"/>
  <c r="W150" i="1" s="1"/>
  <c r="X150" i="1" s="1"/>
  <c r="T152" i="1"/>
  <c r="W152" i="1" s="1"/>
  <c r="U157" i="1"/>
  <c r="S145" i="1"/>
  <c r="V145" i="1" s="1"/>
  <c r="S149" i="1"/>
  <c r="V149" i="1" s="1"/>
  <c r="S153" i="1"/>
  <c r="V153" i="1" s="1"/>
  <c r="T143" i="1"/>
  <c r="W143" i="1" s="1"/>
  <c r="T147" i="1"/>
  <c r="W147" i="1" s="1"/>
  <c r="X147" i="1" s="1"/>
  <c r="T151" i="1"/>
  <c r="W151" i="1" s="1"/>
  <c r="T145" i="1"/>
  <c r="W145" i="1" s="1"/>
  <c r="T153" i="1"/>
  <c r="W153" i="1" s="1"/>
  <c r="X153" i="1" s="1"/>
  <c r="S143" i="1"/>
  <c r="V143" i="1" s="1"/>
  <c r="S151" i="1"/>
  <c r="V151" i="1" s="1"/>
  <c r="T149" i="1"/>
  <c r="W149" i="1" s="1"/>
  <c r="S147" i="1"/>
  <c r="V147" i="1" s="1"/>
  <c r="X135" i="1"/>
  <c r="X127" i="1"/>
  <c r="X125" i="1"/>
  <c r="X129" i="3"/>
  <c r="X133" i="3"/>
  <c r="T143" i="3"/>
  <c r="S143" i="3"/>
  <c r="T144" i="3"/>
  <c r="W144" i="3" s="1"/>
  <c r="T146" i="3"/>
  <c r="W146" i="3" s="1"/>
  <c r="T147" i="3"/>
  <c r="W147" i="3" s="1"/>
  <c r="S148" i="3"/>
  <c r="V148" i="3" s="1"/>
  <c r="S150" i="3"/>
  <c r="V150" i="3" s="1"/>
  <c r="S152" i="3"/>
  <c r="V152" i="3" s="1"/>
  <c r="S154" i="3"/>
  <c r="V154" i="3" s="1"/>
  <c r="S144" i="3"/>
  <c r="V144" i="3" s="1"/>
  <c r="S145" i="3"/>
  <c r="V145" i="3" s="1"/>
  <c r="T148" i="3"/>
  <c r="W148" i="3" s="1"/>
  <c r="T150" i="3"/>
  <c r="W150" i="3" s="1"/>
  <c r="T152" i="3"/>
  <c r="W152" i="3" s="1"/>
  <c r="T154" i="3"/>
  <c r="W154" i="3" s="1"/>
  <c r="U158" i="3"/>
  <c r="T149" i="3"/>
  <c r="W149" i="3" s="1"/>
  <c r="T153" i="3"/>
  <c r="W153" i="3" s="1"/>
  <c r="S146" i="3"/>
  <c r="V146" i="3" s="1"/>
  <c r="S149" i="3"/>
  <c r="V149" i="3" s="1"/>
  <c r="S153" i="3"/>
  <c r="V153" i="3" s="1"/>
  <c r="S147" i="3"/>
  <c r="V147" i="3" s="1"/>
  <c r="T145" i="3"/>
  <c r="W145" i="3" s="1"/>
  <c r="X145" i="3" s="1"/>
  <c r="S151" i="3"/>
  <c r="V151" i="3" s="1"/>
  <c r="Y140" i="3"/>
  <c r="T151" i="3"/>
  <c r="W151" i="3" s="1"/>
  <c r="Y102" i="3"/>
  <c r="X86" i="3"/>
  <c r="Y87" i="3" s="1"/>
  <c r="X150" i="3" l="1"/>
  <c r="X148" i="3"/>
  <c r="X146" i="3"/>
  <c r="T138" i="3"/>
  <c r="X144" i="3"/>
  <c r="X149" i="3"/>
  <c r="X147" i="3"/>
  <c r="W143" i="3"/>
  <c r="T155" i="3"/>
  <c r="T163" i="3"/>
  <c r="W163" i="3" s="1"/>
  <c r="T165" i="3"/>
  <c r="W165" i="3" s="1"/>
  <c r="T167" i="3"/>
  <c r="W167" i="3" s="1"/>
  <c r="T169" i="3"/>
  <c r="W169" i="3" s="1"/>
  <c r="T171" i="3"/>
  <c r="W171" i="3" s="1"/>
  <c r="S162" i="3"/>
  <c r="V162" i="3" s="1"/>
  <c r="S164" i="3"/>
  <c r="V164" i="3" s="1"/>
  <c r="S166" i="3"/>
  <c r="V166" i="3" s="1"/>
  <c r="S168" i="3"/>
  <c r="V168" i="3" s="1"/>
  <c r="S170" i="3"/>
  <c r="V170" i="3" s="1"/>
  <c r="S161" i="3"/>
  <c r="T164" i="3"/>
  <c r="W164" i="3" s="1"/>
  <c r="T168" i="3"/>
  <c r="W168" i="3" s="1"/>
  <c r="X168" i="3" s="1"/>
  <c r="S171" i="3"/>
  <c r="V171" i="3" s="1"/>
  <c r="S172" i="3"/>
  <c r="V172" i="3" s="1"/>
  <c r="S165" i="3"/>
  <c r="V165" i="3" s="1"/>
  <c r="S169" i="3"/>
  <c r="V169" i="3" s="1"/>
  <c r="S163" i="3"/>
  <c r="V163" i="3" s="1"/>
  <c r="T162" i="3"/>
  <c r="W162" i="3" s="1"/>
  <c r="X162" i="3" s="1"/>
  <c r="T170" i="3"/>
  <c r="W170" i="3" s="1"/>
  <c r="T172" i="3"/>
  <c r="W172" i="3" s="1"/>
  <c r="T166" i="3"/>
  <c r="W166" i="3" s="1"/>
  <c r="U176" i="3"/>
  <c r="S167" i="3"/>
  <c r="V167" i="3" s="1"/>
  <c r="T161" i="3"/>
  <c r="Y158" i="3"/>
  <c r="X151" i="1"/>
  <c r="X124" i="1"/>
  <c r="X136" i="1" s="1"/>
  <c r="W136" i="1"/>
  <c r="V142" i="1"/>
  <c r="V154" i="1" s="1"/>
  <c r="S154" i="1"/>
  <c r="R611" i="1"/>
  <c r="S614" i="1"/>
  <c r="R613" i="1"/>
  <c r="X146" i="2"/>
  <c r="S611" i="3"/>
  <c r="U101" i="3"/>
  <c r="X143" i="1"/>
  <c r="S161" i="1"/>
  <c r="V161" i="1" s="1"/>
  <c r="S163" i="1"/>
  <c r="V163" i="1" s="1"/>
  <c r="S165" i="1"/>
  <c r="V165" i="1" s="1"/>
  <c r="S167" i="1"/>
  <c r="V167" i="1" s="1"/>
  <c r="S169" i="1"/>
  <c r="V169" i="1" s="1"/>
  <c r="S171" i="1"/>
  <c r="V171" i="1" s="1"/>
  <c r="T161" i="1"/>
  <c r="W161" i="1" s="1"/>
  <c r="X161" i="1" s="1"/>
  <c r="T163" i="1"/>
  <c r="W163" i="1" s="1"/>
  <c r="X163" i="1" s="1"/>
  <c r="T165" i="1"/>
  <c r="W165" i="1" s="1"/>
  <c r="T167" i="1"/>
  <c r="W167" i="1" s="1"/>
  <c r="T169" i="1"/>
  <c r="W169" i="1" s="1"/>
  <c r="X169" i="1" s="1"/>
  <c r="T171" i="1"/>
  <c r="W171" i="1" s="1"/>
  <c r="X171" i="1" s="1"/>
  <c r="T160" i="1"/>
  <c r="S162" i="1"/>
  <c r="V162" i="1" s="1"/>
  <c r="S166" i="1"/>
  <c r="V166" i="1" s="1"/>
  <c r="S170" i="1"/>
  <c r="V170" i="1" s="1"/>
  <c r="U175" i="1"/>
  <c r="T164" i="1"/>
  <c r="W164" i="1" s="1"/>
  <c r="T168" i="1"/>
  <c r="W168" i="1" s="1"/>
  <c r="X168" i="1" s="1"/>
  <c r="S160" i="1"/>
  <c r="S168" i="1"/>
  <c r="V168" i="1" s="1"/>
  <c r="T166" i="1"/>
  <c r="W166" i="1" s="1"/>
  <c r="S164" i="1"/>
  <c r="V164" i="1" s="1"/>
  <c r="T162" i="1"/>
  <c r="W162" i="1" s="1"/>
  <c r="X162" i="1" s="1"/>
  <c r="T170" i="1"/>
  <c r="W170" i="1" s="1"/>
  <c r="W142" i="1"/>
  <c r="T154" i="1"/>
  <c r="U100" i="1"/>
  <c r="S610" i="1"/>
  <c r="Y119" i="1"/>
  <c r="X103" i="1"/>
  <c r="S610" i="2"/>
  <c r="U100" i="2"/>
  <c r="T160" i="2"/>
  <c r="S160" i="2"/>
  <c r="T161" i="2"/>
  <c r="W161" i="2" s="1"/>
  <c r="X161" i="2" s="1"/>
  <c r="T163" i="2"/>
  <c r="W163" i="2" s="1"/>
  <c r="T165" i="2"/>
  <c r="W165" i="2" s="1"/>
  <c r="T167" i="2"/>
  <c r="W167" i="2" s="1"/>
  <c r="X167" i="2" s="1"/>
  <c r="T169" i="2"/>
  <c r="W169" i="2" s="1"/>
  <c r="X169" i="2" s="1"/>
  <c r="T171" i="2"/>
  <c r="W171" i="2" s="1"/>
  <c r="S162" i="2"/>
  <c r="V162" i="2" s="1"/>
  <c r="S164" i="2"/>
  <c r="V164" i="2" s="1"/>
  <c r="S166" i="2"/>
  <c r="V166" i="2" s="1"/>
  <c r="S168" i="2"/>
  <c r="V168" i="2" s="1"/>
  <c r="S170" i="2"/>
  <c r="V170" i="2" s="1"/>
  <c r="T164" i="2"/>
  <c r="W164" i="2" s="1"/>
  <c r="X164" i="2" s="1"/>
  <c r="T168" i="2"/>
  <c r="W168" i="2" s="1"/>
  <c r="X168" i="2" s="1"/>
  <c r="S161" i="2"/>
  <c r="V161" i="2" s="1"/>
  <c r="S165" i="2"/>
  <c r="V165" i="2" s="1"/>
  <c r="S169" i="2"/>
  <c r="V169" i="2" s="1"/>
  <c r="S163" i="2"/>
  <c r="V163" i="2" s="1"/>
  <c r="S171" i="2"/>
  <c r="V171" i="2" s="1"/>
  <c r="T162" i="2"/>
  <c r="W162" i="2" s="1"/>
  <c r="X162" i="2" s="1"/>
  <c r="T170" i="2"/>
  <c r="W170" i="2" s="1"/>
  <c r="X170" i="2" s="1"/>
  <c r="T166" i="2"/>
  <c r="W166" i="2" s="1"/>
  <c r="X166" i="2" s="1"/>
  <c r="S167" i="2"/>
  <c r="V167" i="2" s="1"/>
  <c r="U175" i="2"/>
  <c r="X144" i="2"/>
  <c r="X154" i="3"/>
  <c r="X151" i="3"/>
  <c r="X153" i="3"/>
  <c r="X152" i="3"/>
  <c r="V143" i="3"/>
  <c r="V155" i="3" s="1"/>
  <c r="S155" i="3"/>
  <c r="X149" i="1"/>
  <c r="X145" i="1"/>
  <c r="X152" i="1"/>
  <c r="X144" i="1"/>
  <c r="Y119" i="2"/>
  <c r="X103" i="2"/>
  <c r="Y120" i="3"/>
  <c r="X104" i="3"/>
  <c r="Y105" i="3" s="1"/>
  <c r="X153" i="2"/>
  <c r="X149" i="2"/>
  <c r="V142" i="2"/>
  <c r="V154" i="2" s="1"/>
  <c r="S154" i="2"/>
  <c r="S616" i="3"/>
  <c r="R616" i="3"/>
  <c r="R614" i="3"/>
  <c r="R615" i="3"/>
  <c r="R613" i="3"/>
  <c r="X124" i="2"/>
  <c r="X136" i="2" s="1"/>
  <c r="W136" i="2"/>
  <c r="X125" i="3"/>
  <c r="X137" i="3" s="1"/>
  <c r="W137" i="3"/>
  <c r="X152" i="2"/>
  <c r="X150" i="2"/>
  <c r="X147" i="2"/>
  <c r="W142" i="2"/>
  <c r="T154" i="2"/>
  <c r="X170" i="3" l="1"/>
  <c r="X164" i="3"/>
  <c r="X169" i="3"/>
  <c r="T611" i="3"/>
  <c r="U119" i="3"/>
  <c r="S611" i="2"/>
  <c r="S613" i="2"/>
  <c r="S615" i="2"/>
  <c r="S614" i="2" s="1"/>
  <c r="V160" i="1"/>
  <c r="V172" i="1" s="1"/>
  <c r="S172" i="1"/>
  <c r="Y137" i="1"/>
  <c r="X121" i="1"/>
  <c r="R154" i="2"/>
  <c r="S172" i="2"/>
  <c r="R172" i="2" s="1"/>
  <c r="V160" i="2"/>
  <c r="V172" i="2" s="1"/>
  <c r="S181" i="3"/>
  <c r="V181" i="3" s="1"/>
  <c r="S183" i="3"/>
  <c r="V183" i="3" s="1"/>
  <c r="S185" i="3"/>
  <c r="V185" i="3" s="1"/>
  <c r="S187" i="3"/>
  <c r="V187" i="3" s="1"/>
  <c r="S189" i="3"/>
  <c r="V189" i="3" s="1"/>
  <c r="T179" i="3"/>
  <c r="S179" i="3"/>
  <c r="T182" i="3"/>
  <c r="W182" i="3" s="1"/>
  <c r="T183" i="3"/>
  <c r="W183" i="3" s="1"/>
  <c r="S186" i="3"/>
  <c r="V186" i="3" s="1"/>
  <c r="T190" i="3"/>
  <c r="W190" i="3" s="1"/>
  <c r="S180" i="3"/>
  <c r="V180" i="3" s="1"/>
  <c r="T184" i="3"/>
  <c r="W184" i="3" s="1"/>
  <c r="T185" i="3"/>
  <c r="W185" i="3" s="1"/>
  <c r="S188" i="3"/>
  <c r="V188" i="3" s="1"/>
  <c r="U194" i="3"/>
  <c r="S182" i="3"/>
  <c r="V182" i="3" s="1"/>
  <c r="T186" i="3"/>
  <c r="W186" i="3" s="1"/>
  <c r="X186" i="3" s="1"/>
  <c r="T181" i="3"/>
  <c r="W181" i="3" s="1"/>
  <c r="S184" i="3"/>
  <c r="V184" i="3" s="1"/>
  <c r="T188" i="3"/>
  <c r="W188" i="3" s="1"/>
  <c r="T189" i="3"/>
  <c r="W189" i="3" s="1"/>
  <c r="S190" i="3"/>
  <c r="V190" i="3" s="1"/>
  <c r="T180" i="3"/>
  <c r="W180" i="3" s="1"/>
  <c r="X180" i="3" s="1"/>
  <c r="T187" i="3"/>
  <c r="W187" i="3" s="1"/>
  <c r="Y176" i="3"/>
  <c r="V161" i="3"/>
  <c r="V173" i="3" s="1"/>
  <c r="S173" i="3"/>
  <c r="X167" i="3"/>
  <c r="X143" i="3"/>
  <c r="X155" i="3" s="1"/>
  <c r="W155" i="3"/>
  <c r="X142" i="2"/>
  <c r="X154" i="2" s="1"/>
  <c r="W154" i="2"/>
  <c r="Y137" i="2"/>
  <c r="X121" i="2"/>
  <c r="S614" i="3"/>
  <c r="T610" i="2"/>
  <c r="U118" i="2"/>
  <c r="S180" i="2"/>
  <c r="V180" i="2" s="1"/>
  <c r="S182" i="2"/>
  <c r="V182" i="2" s="1"/>
  <c r="S184" i="2"/>
  <c r="V184" i="2" s="1"/>
  <c r="S186" i="2"/>
  <c r="V186" i="2" s="1"/>
  <c r="S188" i="2"/>
  <c r="V188" i="2" s="1"/>
  <c r="T180" i="2"/>
  <c r="W180" i="2" s="1"/>
  <c r="T182" i="2"/>
  <c r="W182" i="2" s="1"/>
  <c r="X182" i="2" s="1"/>
  <c r="T184" i="2"/>
  <c r="W184" i="2" s="1"/>
  <c r="X184" i="2" s="1"/>
  <c r="T186" i="2"/>
  <c r="W186" i="2" s="1"/>
  <c r="X186" i="2" s="1"/>
  <c r="T188" i="2"/>
  <c r="W188" i="2" s="1"/>
  <c r="U193" i="2"/>
  <c r="T178" i="2"/>
  <c r="S181" i="2"/>
  <c r="V181" i="2" s="1"/>
  <c r="S185" i="2"/>
  <c r="V185" i="2" s="1"/>
  <c r="S189" i="2"/>
  <c r="V189" i="2" s="1"/>
  <c r="T179" i="2"/>
  <c r="W179" i="2" s="1"/>
  <c r="X179" i="2" s="1"/>
  <c r="T183" i="2"/>
  <c r="W183" i="2" s="1"/>
  <c r="X183" i="2" s="1"/>
  <c r="T187" i="2"/>
  <c r="W187" i="2" s="1"/>
  <c r="S183" i="2"/>
  <c r="V183" i="2" s="1"/>
  <c r="S178" i="2"/>
  <c r="T181" i="2"/>
  <c r="W181" i="2" s="1"/>
  <c r="X181" i="2" s="1"/>
  <c r="T189" i="2"/>
  <c r="W189" i="2" s="1"/>
  <c r="S179" i="2"/>
  <c r="V179" i="2" s="1"/>
  <c r="T185" i="2"/>
  <c r="W185" i="2" s="1"/>
  <c r="X185" i="2" s="1"/>
  <c r="S187" i="2"/>
  <c r="V187" i="2" s="1"/>
  <c r="X165" i="2"/>
  <c r="W160" i="2"/>
  <c r="T172" i="2"/>
  <c r="T610" i="1"/>
  <c r="U118" i="1"/>
  <c r="X142" i="1"/>
  <c r="X154" i="1" s="1"/>
  <c r="W154" i="1"/>
  <c r="X166" i="1"/>
  <c r="X164" i="1"/>
  <c r="X167" i="1"/>
  <c r="S615" i="3"/>
  <c r="S613" i="3"/>
  <c r="X166" i="3"/>
  <c r="X165" i="3"/>
  <c r="Y138" i="3"/>
  <c r="X122" i="3"/>
  <c r="X171" i="2"/>
  <c r="X163" i="2"/>
  <c r="S613" i="1"/>
  <c r="S611" i="1"/>
  <c r="X170" i="1"/>
  <c r="T178" i="1"/>
  <c r="S178" i="1"/>
  <c r="S180" i="1"/>
  <c r="V180" i="1" s="1"/>
  <c r="S182" i="1"/>
  <c r="V182" i="1" s="1"/>
  <c r="S184" i="1"/>
  <c r="V184" i="1" s="1"/>
  <c r="S186" i="1"/>
  <c r="V186" i="1" s="1"/>
  <c r="S188" i="1"/>
  <c r="V188" i="1" s="1"/>
  <c r="T180" i="1"/>
  <c r="W180" i="1" s="1"/>
  <c r="X180" i="1" s="1"/>
  <c r="T182" i="1"/>
  <c r="W182" i="1" s="1"/>
  <c r="T184" i="1"/>
  <c r="W184" i="1" s="1"/>
  <c r="X184" i="1" s="1"/>
  <c r="T186" i="1"/>
  <c r="W186" i="1" s="1"/>
  <c r="X186" i="1" s="1"/>
  <c r="T188" i="1"/>
  <c r="W188" i="1" s="1"/>
  <c r="X188" i="1" s="1"/>
  <c r="U193" i="1"/>
  <c r="S181" i="1"/>
  <c r="V181" i="1" s="1"/>
  <c r="S185" i="1"/>
  <c r="V185" i="1" s="1"/>
  <c r="S189" i="1"/>
  <c r="V189" i="1" s="1"/>
  <c r="T179" i="1"/>
  <c r="W179" i="1" s="1"/>
  <c r="T183" i="1"/>
  <c r="W183" i="1" s="1"/>
  <c r="X183" i="1" s="1"/>
  <c r="T187" i="1"/>
  <c r="W187" i="1" s="1"/>
  <c r="T185" i="1"/>
  <c r="W185" i="1" s="1"/>
  <c r="X185" i="1" s="1"/>
  <c r="S183" i="1"/>
  <c r="V183" i="1" s="1"/>
  <c r="T181" i="1"/>
  <c r="W181" i="1" s="1"/>
  <c r="X181" i="1" s="1"/>
  <c r="T189" i="1"/>
  <c r="W189" i="1" s="1"/>
  <c r="S187" i="1"/>
  <c r="V187" i="1" s="1"/>
  <c r="S179" i="1"/>
  <c r="V179" i="1" s="1"/>
  <c r="W160" i="1"/>
  <c r="T172" i="1"/>
  <c r="X165" i="1"/>
  <c r="W161" i="3"/>
  <c r="T173" i="3"/>
  <c r="X172" i="3"/>
  <c r="X171" i="3"/>
  <c r="X163" i="3"/>
  <c r="X187" i="3" l="1"/>
  <c r="X184" i="3"/>
  <c r="X189" i="3"/>
  <c r="X181" i="3"/>
  <c r="X161" i="3"/>
  <c r="X173" i="3" s="1"/>
  <c r="W173" i="3"/>
  <c r="T611" i="1"/>
  <c r="T613" i="1"/>
  <c r="X190" i="3"/>
  <c r="T613" i="3"/>
  <c r="T615" i="3"/>
  <c r="T616" i="3"/>
  <c r="X189" i="1"/>
  <c r="X187" i="1"/>
  <c r="V178" i="2"/>
  <c r="V190" i="2" s="1"/>
  <c r="S190" i="2"/>
  <c r="R190" i="2" s="1"/>
  <c r="W178" i="2"/>
  <c r="T190" i="2"/>
  <c r="U610" i="2"/>
  <c r="U136" i="2"/>
  <c r="Y156" i="3"/>
  <c r="X185" i="3"/>
  <c r="W179" i="3"/>
  <c r="T191" i="3"/>
  <c r="X160" i="1"/>
  <c r="X172" i="1" s="1"/>
  <c r="W172" i="1"/>
  <c r="V178" i="1"/>
  <c r="V190" i="1" s="1"/>
  <c r="S190" i="1"/>
  <c r="Y155" i="1"/>
  <c r="X139" i="1"/>
  <c r="X160" i="2"/>
  <c r="X172" i="2" s="1"/>
  <c r="W172" i="2"/>
  <c r="T198" i="2"/>
  <c r="W198" i="2" s="1"/>
  <c r="X198" i="2" s="1"/>
  <c r="T200" i="2"/>
  <c r="W200" i="2" s="1"/>
  <c r="T202" i="2"/>
  <c r="W202" i="2" s="1"/>
  <c r="T204" i="2"/>
  <c r="W204" i="2" s="1"/>
  <c r="X204" i="2" s="1"/>
  <c r="T206" i="2"/>
  <c r="W206" i="2" s="1"/>
  <c r="U211" i="2"/>
  <c r="S197" i="2"/>
  <c r="V197" i="2" s="1"/>
  <c r="S199" i="2"/>
  <c r="V199" i="2" s="1"/>
  <c r="S201" i="2"/>
  <c r="V201" i="2" s="1"/>
  <c r="S203" i="2"/>
  <c r="V203" i="2" s="1"/>
  <c r="S205" i="2"/>
  <c r="V205" i="2" s="1"/>
  <c r="S207" i="2"/>
  <c r="V207" i="2" s="1"/>
  <c r="S200" i="2"/>
  <c r="V200" i="2" s="1"/>
  <c r="S204" i="2"/>
  <c r="V204" i="2" s="1"/>
  <c r="T196" i="2"/>
  <c r="T197" i="2"/>
  <c r="W197" i="2" s="1"/>
  <c r="X197" i="2" s="1"/>
  <c r="T201" i="2"/>
  <c r="W201" i="2" s="1"/>
  <c r="X201" i="2" s="1"/>
  <c r="T205" i="2"/>
  <c r="W205" i="2" s="1"/>
  <c r="X205" i="2" s="1"/>
  <c r="T203" i="2"/>
  <c r="W203" i="2" s="1"/>
  <c r="X203" i="2" s="1"/>
  <c r="S198" i="2"/>
  <c r="V198" i="2" s="1"/>
  <c r="S206" i="2"/>
  <c r="V206" i="2" s="1"/>
  <c r="S196" i="2"/>
  <c r="T207" i="2"/>
  <c r="W207" i="2" s="1"/>
  <c r="S202" i="2"/>
  <c r="V202" i="2" s="1"/>
  <c r="T199" i="2"/>
  <c r="W199" i="2" s="1"/>
  <c r="X199" i="2" s="1"/>
  <c r="T613" i="2"/>
  <c r="T611" i="2"/>
  <c r="X188" i="3"/>
  <c r="X183" i="3"/>
  <c r="U615" i="2"/>
  <c r="U614" i="2" s="1"/>
  <c r="T614" i="1"/>
  <c r="X179" i="1"/>
  <c r="S197" i="1"/>
  <c r="V197" i="1" s="1"/>
  <c r="S199" i="1"/>
  <c r="V199" i="1" s="1"/>
  <c r="S201" i="1"/>
  <c r="V201" i="1" s="1"/>
  <c r="S203" i="1"/>
  <c r="V203" i="1" s="1"/>
  <c r="S205" i="1"/>
  <c r="V205" i="1" s="1"/>
  <c r="S207" i="1"/>
  <c r="V207" i="1" s="1"/>
  <c r="T197" i="1"/>
  <c r="W197" i="1" s="1"/>
  <c r="X197" i="1" s="1"/>
  <c r="T199" i="1"/>
  <c r="W199" i="1" s="1"/>
  <c r="T201" i="1"/>
  <c r="W201" i="1" s="1"/>
  <c r="T203" i="1"/>
  <c r="W203" i="1" s="1"/>
  <c r="X203" i="1" s="1"/>
  <c r="T205" i="1"/>
  <c r="W205" i="1" s="1"/>
  <c r="X205" i="1" s="1"/>
  <c r="T207" i="1"/>
  <c r="W207" i="1" s="1"/>
  <c r="T196" i="1"/>
  <c r="S198" i="1"/>
  <c r="V198" i="1" s="1"/>
  <c r="S202" i="1"/>
  <c r="V202" i="1" s="1"/>
  <c r="S206" i="1"/>
  <c r="V206" i="1" s="1"/>
  <c r="T200" i="1"/>
  <c r="W200" i="1" s="1"/>
  <c r="T204" i="1"/>
  <c r="W204" i="1" s="1"/>
  <c r="S200" i="1"/>
  <c r="V200" i="1" s="1"/>
  <c r="T198" i="1"/>
  <c r="W198" i="1" s="1"/>
  <c r="T206" i="1"/>
  <c r="W206" i="1" s="1"/>
  <c r="X206" i="1" s="1"/>
  <c r="S196" i="1"/>
  <c r="S204" i="1"/>
  <c r="V204" i="1" s="1"/>
  <c r="T202" i="1"/>
  <c r="W202" i="1" s="1"/>
  <c r="U211" i="1"/>
  <c r="X182" i="1"/>
  <c r="W178" i="1"/>
  <c r="T190" i="1"/>
  <c r="Y123" i="3"/>
  <c r="X189" i="2"/>
  <c r="X187" i="2"/>
  <c r="X188" i="2"/>
  <c r="X180" i="2"/>
  <c r="Y155" i="2"/>
  <c r="X139" i="2"/>
  <c r="T197" i="3"/>
  <c r="S197" i="3"/>
  <c r="T198" i="3"/>
  <c r="W198" i="3" s="1"/>
  <c r="T200" i="3"/>
  <c r="W200" i="3" s="1"/>
  <c r="T202" i="3"/>
  <c r="W202" i="3" s="1"/>
  <c r="T204" i="3"/>
  <c r="W204" i="3" s="1"/>
  <c r="T206" i="3"/>
  <c r="W206" i="3" s="1"/>
  <c r="T208" i="3"/>
  <c r="W208" i="3" s="1"/>
  <c r="T199" i="3"/>
  <c r="W199" i="3" s="1"/>
  <c r="S202" i="3"/>
  <c r="V202" i="3" s="1"/>
  <c r="S203" i="3"/>
  <c r="V203" i="3" s="1"/>
  <c r="T207" i="3"/>
  <c r="W207" i="3" s="1"/>
  <c r="T201" i="3"/>
  <c r="W201" i="3" s="1"/>
  <c r="S204" i="3"/>
  <c r="V204" i="3" s="1"/>
  <c r="S205" i="3"/>
  <c r="V205" i="3" s="1"/>
  <c r="U212" i="3"/>
  <c r="S200" i="3"/>
  <c r="V200" i="3" s="1"/>
  <c r="S199" i="3"/>
  <c r="V199" i="3" s="1"/>
  <c r="T203" i="3"/>
  <c r="W203" i="3" s="1"/>
  <c r="X203" i="3" s="1"/>
  <c r="S206" i="3"/>
  <c r="V206" i="3" s="1"/>
  <c r="S207" i="3"/>
  <c r="V207" i="3" s="1"/>
  <c r="T205" i="3"/>
  <c r="W205" i="3" s="1"/>
  <c r="S198" i="3"/>
  <c r="V198" i="3" s="1"/>
  <c r="S208" i="3"/>
  <c r="V208" i="3" s="1"/>
  <c r="S201" i="3"/>
  <c r="V201" i="3" s="1"/>
  <c r="Y194" i="3"/>
  <c r="X182" i="3"/>
  <c r="U610" i="1"/>
  <c r="U136" i="1"/>
  <c r="T615" i="2"/>
  <c r="T614" i="2" s="1"/>
  <c r="U611" i="3"/>
  <c r="U616" i="3" s="1"/>
  <c r="U137" i="3"/>
  <c r="V179" i="3"/>
  <c r="V191" i="3" s="1"/>
  <c r="S191" i="3"/>
  <c r="X207" i="3" l="1"/>
  <c r="X200" i="3"/>
  <c r="X206" i="3"/>
  <c r="X198" i="3"/>
  <c r="X204" i="1"/>
  <c r="X201" i="3"/>
  <c r="X199" i="3"/>
  <c r="X202" i="3"/>
  <c r="W197" i="3"/>
  <c r="T209" i="3"/>
  <c r="X202" i="1"/>
  <c r="X198" i="1"/>
  <c r="X207" i="1"/>
  <c r="X199" i="1"/>
  <c r="V196" i="2"/>
  <c r="V208" i="2" s="1"/>
  <c r="S208" i="2"/>
  <c r="S215" i="2"/>
  <c r="V215" i="2" s="1"/>
  <c r="S217" i="2"/>
  <c r="V217" i="2" s="1"/>
  <c r="S219" i="2"/>
  <c r="V219" i="2" s="1"/>
  <c r="S221" i="2"/>
  <c r="V221" i="2" s="1"/>
  <c r="S223" i="2"/>
  <c r="V223" i="2" s="1"/>
  <c r="S225" i="2"/>
  <c r="V225" i="2" s="1"/>
  <c r="T214" i="2"/>
  <c r="S214" i="2"/>
  <c r="T215" i="2"/>
  <c r="W215" i="2" s="1"/>
  <c r="X215" i="2" s="1"/>
  <c r="T217" i="2"/>
  <c r="W217" i="2" s="1"/>
  <c r="X217" i="2" s="1"/>
  <c r="T219" i="2"/>
  <c r="W219" i="2" s="1"/>
  <c r="X219" i="2" s="1"/>
  <c r="T221" i="2"/>
  <c r="W221" i="2" s="1"/>
  <c r="X221" i="2" s="1"/>
  <c r="T223" i="2"/>
  <c r="W223" i="2" s="1"/>
  <c r="X223" i="2" s="1"/>
  <c r="T225" i="2"/>
  <c r="W225" i="2" s="1"/>
  <c r="X225" i="2" s="1"/>
  <c r="T216" i="2"/>
  <c r="W216" i="2" s="1"/>
  <c r="T220" i="2"/>
  <c r="W220" i="2" s="1"/>
  <c r="T224" i="2"/>
  <c r="W224" i="2" s="1"/>
  <c r="U229" i="2"/>
  <c r="S216" i="2"/>
  <c r="V216" i="2" s="1"/>
  <c r="S220" i="2"/>
  <c r="V220" i="2" s="1"/>
  <c r="S224" i="2"/>
  <c r="V224" i="2" s="1"/>
  <c r="S222" i="2"/>
  <c r="V222" i="2" s="1"/>
  <c r="T218" i="2"/>
  <c r="W218" i="2" s="1"/>
  <c r="X218" i="2" s="1"/>
  <c r="S218" i="2"/>
  <c r="V218" i="2" s="1"/>
  <c r="T222" i="2"/>
  <c r="W222" i="2" s="1"/>
  <c r="X200" i="2"/>
  <c r="Y173" i="1"/>
  <c r="X157" i="1"/>
  <c r="V611" i="3"/>
  <c r="U155" i="3"/>
  <c r="X178" i="2"/>
  <c r="X190" i="2" s="1"/>
  <c r="W190" i="2"/>
  <c r="U614" i="1"/>
  <c r="U613" i="1"/>
  <c r="U611" i="1"/>
  <c r="T215" i="3"/>
  <c r="S215" i="3"/>
  <c r="T216" i="3"/>
  <c r="W216" i="3" s="1"/>
  <c r="T218" i="3"/>
  <c r="W218" i="3" s="1"/>
  <c r="T220" i="3"/>
  <c r="W220" i="3" s="1"/>
  <c r="T222" i="3"/>
  <c r="W222" i="3" s="1"/>
  <c r="T224" i="3"/>
  <c r="W224" i="3" s="1"/>
  <c r="T226" i="3"/>
  <c r="W226" i="3" s="1"/>
  <c r="T217" i="3"/>
  <c r="W217" i="3" s="1"/>
  <c r="S220" i="3"/>
  <c r="V220" i="3" s="1"/>
  <c r="S221" i="3"/>
  <c r="V221" i="3" s="1"/>
  <c r="T219" i="3"/>
  <c r="W219" i="3" s="1"/>
  <c r="S222" i="3"/>
  <c r="V222" i="3" s="1"/>
  <c r="S223" i="3"/>
  <c r="V223" i="3" s="1"/>
  <c r="S217" i="3"/>
  <c r="V217" i="3" s="1"/>
  <c r="T221" i="3"/>
  <c r="W221" i="3" s="1"/>
  <c r="T225" i="3"/>
  <c r="W225" i="3" s="1"/>
  <c r="S219" i="3"/>
  <c r="V219" i="3" s="1"/>
  <c r="T223" i="3"/>
  <c r="W223" i="3" s="1"/>
  <c r="S225" i="3"/>
  <c r="V225" i="3" s="1"/>
  <c r="S226" i="3"/>
  <c r="V226" i="3" s="1"/>
  <c r="U230" i="3"/>
  <c r="S224" i="3"/>
  <c r="V224" i="3" s="1"/>
  <c r="S218" i="3"/>
  <c r="V218" i="3" s="1"/>
  <c r="S216" i="3"/>
  <c r="V216" i="3" s="1"/>
  <c r="Y212" i="3"/>
  <c r="X208" i="3"/>
  <c r="X178" i="1"/>
  <c r="X190" i="1" s="1"/>
  <c r="W190" i="1"/>
  <c r="X206" i="2"/>
  <c r="V610" i="1"/>
  <c r="U154" i="1"/>
  <c r="X179" i="3"/>
  <c r="X191" i="3" s="1"/>
  <c r="W191" i="3"/>
  <c r="Y174" i="3"/>
  <c r="V610" i="2"/>
  <c r="U154" i="2"/>
  <c r="V196" i="1"/>
  <c r="V208" i="1" s="1"/>
  <c r="S208" i="1"/>
  <c r="U613" i="2"/>
  <c r="U611" i="2"/>
  <c r="U614" i="3"/>
  <c r="T614" i="3"/>
  <c r="V614" i="1"/>
  <c r="U613" i="3"/>
  <c r="U615" i="3"/>
  <c r="X205" i="3"/>
  <c r="X204" i="3"/>
  <c r="V197" i="3"/>
  <c r="V209" i="3" s="1"/>
  <c r="S209" i="3"/>
  <c r="T216" i="1"/>
  <c r="W216" i="1" s="1"/>
  <c r="T218" i="1"/>
  <c r="W218" i="1" s="1"/>
  <c r="T220" i="1"/>
  <c r="W220" i="1" s="1"/>
  <c r="X220" i="1" s="1"/>
  <c r="T222" i="1"/>
  <c r="W222" i="1" s="1"/>
  <c r="T224" i="1"/>
  <c r="W224" i="1" s="1"/>
  <c r="U229" i="1"/>
  <c r="S215" i="1"/>
  <c r="V215" i="1" s="1"/>
  <c r="S217" i="1"/>
  <c r="V217" i="1" s="1"/>
  <c r="S219" i="1"/>
  <c r="V219" i="1" s="1"/>
  <c r="S221" i="1"/>
  <c r="V221" i="1" s="1"/>
  <c r="S223" i="1"/>
  <c r="V223" i="1" s="1"/>
  <c r="S225" i="1"/>
  <c r="V225" i="1" s="1"/>
  <c r="S216" i="1"/>
  <c r="V216" i="1" s="1"/>
  <c r="S220" i="1"/>
  <c r="V220" i="1" s="1"/>
  <c r="S224" i="1"/>
  <c r="V224" i="1" s="1"/>
  <c r="T217" i="1"/>
  <c r="W217" i="1" s="1"/>
  <c r="X217" i="1" s="1"/>
  <c r="T221" i="1"/>
  <c r="W221" i="1" s="1"/>
  <c r="T225" i="1"/>
  <c r="W225" i="1" s="1"/>
  <c r="X225" i="1" s="1"/>
  <c r="S214" i="1"/>
  <c r="S222" i="1"/>
  <c r="V222" i="1" s="1"/>
  <c r="T214" i="1"/>
  <c r="S218" i="1"/>
  <c r="V218" i="1" s="1"/>
  <c r="T223" i="1"/>
  <c r="W223" i="1" s="1"/>
  <c r="X223" i="1" s="1"/>
  <c r="T219" i="1"/>
  <c r="W219" i="1" s="1"/>
  <c r="X219" i="1" s="1"/>
  <c r="T215" i="1"/>
  <c r="W215" i="1" s="1"/>
  <c r="X200" i="1"/>
  <c r="W196" i="1"/>
  <c r="T208" i="1"/>
  <c r="X201" i="1"/>
  <c r="X207" i="2"/>
  <c r="W196" i="2"/>
  <c r="T208" i="2"/>
  <c r="X202" i="2"/>
  <c r="Y173" i="2"/>
  <c r="X157" i="2"/>
  <c r="X140" i="3"/>
  <c r="X221" i="3" l="1"/>
  <c r="X225" i="3"/>
  <c r="X217" i="3"/>
  <c r="X220" i="3"/>
  <c r="V214" i="1"/>
  <c r="V226" i="1" s="1"/>
  <c r="S226" i="1"/>
  <c r="X197" i="3"/>
  <c r="X209" i="3" s="1"/>
  <c r="W209" i="3"/>
  <c r="T233" i="1"/>
  <c r="W233" i="1" s="1"/>
  <c r="T235" i="1"/>
  <c r="W235" i="1" s="1"/>
  <c r="T237" i="1"/>
  <c r="W237" i="1" s="1"/>
  <c r="X237" i="1" s="1"/>
  <c r="T239" i="1"/>
  <c r="W239" i="1" s="1"/>
  <c r="T241" i="1"/>
  <c r="W241" i="1" s="1"/>
  <c r="T243" i="1"/>
  <c r="W243" i="1" s="1"/>
  <c r="X243" i="1" s="1"/>
  <c r="T232" i="1"/>
  <c r="S232" i="1"/>
  <c r="S234" i="1"/>
  <c r="V234" i="1" s="1"/>
  <c r="S236" i="1"/>
  <c r="V236" i="1" s="1"/>
  <c r="S238" i="1"/>
  <c r="V238" i="1" s="1"/>
  <c r="S240" i="1"/>
  <c r="V240" i="1" s="1"/>
  <c r="S242" i="1"/>
  <c r="V242" i="1" s="1"/>
  <c r="T236" i="1"/>
  <c r="W236" i="1" s="1"/>
  <c r="X236" i="1" s="1"/>
  <c r="T240" i="1"/>
  <c r="W240" i="1" s="1"/>
  <c r="X240" i="1" s="1"/>
  <c r="S233" i="1"/>
  <c r="V233" i="1" s="1"/>
  <c r="S237" i="1"/>
  <c r="V237" i="1" s="1"/>
  <c r="S241" i="1"/>
  <c r="V241" i="1" s="1"/>
  <c r="T234" i="1"/>
  <c r="W234" i="1" s="1"/>
  <c r="X234" i="1" s="1"/>
  <c r="T242" i="1"/>
  <c r="W242" i="1" s="1"/>
  <c r="X242" i="1" s="1"/>
  <c r="T238" i="1"/>
  <c r="W238" i="1" s="1"/>
  <c r="S239" i="1"/>
  <c r="V239" i="1" s="1"/>
  <c r="S235" i="1"/>
  <c r="V235" i="1" s="1"/>
  <c r="U247" i="1"/>
  <c r="S243" i="1"/>
  <c r="V243" i="1" s="1"/>
  <c r="X218" i="1"/>
  <c r="V613" i="1"/>
  <c r="V611" i="1"/>
  <c r="Y191" i="1"/>
  <c r="X175" i="1"/>
  <c r="X219" i="3"/>
  <c r="X226" i="3"/>
  <c r="X218" i="3"/>
  <c r="V613" i="3"/>
  <c r="V615" i="3"/>
  <c r="V616" i="3"/>
  <c r="T232" i="2"/>
  <c r="S232" i="2"/>
  <c r="T233" i="2"/>
  <c r="W233" i="2" s="1"/>
  <c r="T235" i="2"/>
  <c r="W235" i="2" s="1"/>
  <c r="T237" i="2"/>
  <c r="W237" i="2" s="1"/>
  <c r="T239" i="2"/>
  <c r="W239" i="2" s="1"/>
  <c r="T241" i="2"/>
  <c r="W241" i="2" s="1"/>
  <c r="T243" i="2"/>
  <c r="W243" i="2" s="1"/>
  <c r="S234" i="2"/>
  <c r="V234" i="2" s="1"/>
  <c r="S236" i="2"/>
  <c r="V236" i="2" s="1"/>
  <c r="S238" i="2"/>
  <c r="V238" i="2" s="1"/>
  <c r="S240" i="2"/>
  <c r="V240" i="2" s="1"/>
  <c r="S242" i="2"/>
  <c r="V242" i="2" s="1"/>
  <c r="T234" i="2"/>
  <c r="W234" i="2" s="1"/>
  <c r="X234" i="2" s="1"/>
  <c r="T238" i="2"/>
  <c r="W238" i="2" s="1"/>
  <c r="X238" i="2" s="1"/>
  <c r="T242" i="2"/>
  <c r="W242" i="2" s="1"/>
  <c r="S235" i="2"/>
  <c r="V235" i="2" s="1"/>
  <c r="S239" i="2"/>
  <c r="V239" i="2" s="1"/>
  <c r="S243" i="2"/>
  <c r="V243" i="2" s="1"/>
  <c r="U247" i="2"/>
  <c r="T240" i="2"/>
  <c r="W240" i="2" s="1"/>
  <c r="X240" i="2" s="1"/>
  <c r="S237" i="2"/>
  <c r="V237" i="2" s="1"/>
  <c r="S233" i="2"/>
  <c r="V233" i="2" s="1"/>
  <c r="T236" i="2"/>
  <c r="W236" i="2" s="1"/>
  <c r="S241" i="2"/>
  <c r="V241" i="2" s="1"/>
  <c r="X196" i="2"/>
  <c r="X208" i="2" s="1"/>
  <c r="W208" i="2"/>
  <c r="X215" i="1"/>
  <c r="T226" i="1"/>
  <c r="W214" i="1"/>
  <c r="X221" i="1"/>
  <c r="X224" i="1"/>
  <c r="X216" i="1"/>
  <c r="V611" i="2"/>
  <c r="V613" i="2"/>
  <c r="V615" i="2"/>
  <c r="V614" i="2" s="1"/>
  <c r="Y192" i="3"/>
  <c r="X223" i="3"/>
  <c r="X224" i="3"/>
  <c r="X216" i="3"/>
  <c r="X222" i="2"/>
  <c r="X224" i="2"/>
  <c r="Y141" i="3"/>
  <c r="X196" i="1"/>
  <c r="X208" i="1" s="1"/>
  <c r="W208" i="1"/>
  <c r="W611" i="3"/>
  <c r="U173" i="3"/>
  <c r="W215" i="3"/>
  <c r="T227" i="3"/>
  <c r="X216" i="2"/>
  <c r="W214" i="2"/>
  <c r="T226" i="2"/>
  <c r="W610" i="2"/>
  <c r="U172" i="2"/>
  <c r="X222" i="1"/>
  <c r="S235" i="3"/>
  <c r="V235" i="3" s="1"/>
  <c r="T233" i="3"/>
  <c r="S233" i="3"/>
  <c r="T236" i="3"/>
  <c r="W236" i="3" s="1"/>
  <c r="T238" i="3"/>
  <c r="W238" i="3" s="1"/>
  <c r="T240" i="3"/>
  <c r="W240" i="3" s="1"/>
  <c r="T242" i="3"/>
  <c r="W242" i="3" s="1"/>
  <c r="T244" i="3"/>
  <c r="W244" i="3" s="1"/>
  <c r="S234" i="3"/>
  <c r="V234" i="3" s="1"/>
  <c r="S237" i="3"/>
  <c r="V237" i="3" s="1"/>
  <c r="S239" i="3"/>
  <c r="V239" i="3" s="1"/>
  <c r="S241" i="3"/>
  <c r="V241" i="3" s="1"/>
  <c r="S243" i="3"/>
  <c r="V243" i="3" s="1"/>
  <c r="U248" i="3"/>
  <c r="T237" i="3"/>
  <c r="W237" i="3" s="1"/>
  <c r="T241" i="3"/>
  <c r="W241" i="3" s="1"/>
  <c r="X241" i="3" s="1"/>
  <c r="T234" i="3"/>
  <c r="W234" i="3" s="1"/>
  <c r="X234" i="3" s="1"/>
  <c r="S238" i="3"/>
  <c r="V238" i="3" s="1"/>
  <c r="S242" i="3"/>
  <c r="V242" i="3" s="1"/>
  <c r="T235" i="3"/>
  <c r="W235" i="3" s="1"/>
  <c r="S240" i="3"/>
  <c r="V240" i="3" s="1"/>
  <c r="T239" i="3"/>
  <c r="W239" i="3" s="1"/>
  <c r="S236" i="3"/>
  <c r="V236" i="3" s="1"/>
  <c r="S244" i="3"/>
  <c r="V244" i="3" s="1"/>
  <c r="Y230" i="3"/>
  <c r="T243" i="3"/>
  <c r="W243" i="3" s="1"/>
  <c r="X222" i="3"/>
  <c r="V215" i="3"/>
  <c r="V227" i="3" s="1"/>
  <c r="S227" i="3"/>
  <c r="X175" i="2"/>
  <c r="Y191" i="2"/>
  <c r="U172" i="1"/>
  <c r="W610" i="1"/>
  <c r="X220" i="2"/>
  <c r="V214" i="2"/>
  <c r="V226" i="2" s="1"/>
  <c r="S226" i="2"/>
  <c r="R226" i="2" s="1"/>
  <c r="R208" i="2"/>
  <c r="X235" i="3" l="1"/>
  <c r="X237" i="3"/>
  <c r="X243" i="3"/>
  <c r="X240" i="3"/>
  <c r="Y210" i="3"/>
  <c r="W611" i="1"/>
  <c r="W613" i="1"/>
  <c r="W614" i="1"/>
  <c r="T253" i="3"/>
  <c r="W253" i="3" s="1"/>
  <c r="T255" i="3"/>
  <c r="W255" i="3" s="1"/>
  <c r="T257" i="3"/>
  <c r="W257" i="3" s="1"/>
  <c r="T259" i="3"/>
  <c r="W259" i="3" s="1"/>
  <c r="T261" i="3"/>
  <c r="W261" i="3" s="1"/>
  <c r="S252" i="3"/>
  <c r="V252" i="3" s="1"/>
  <c r="S254" i="3"/>
  <c r="V254" i="3" s="1"/>
  <c r="S256" i="3"/>
  <c r="V256" i="3" s="1"/>
  <c r="S258" i="3"/>
  <c r="V258" i="3" s="1"/>
  <c r="S260" i="3"/>
  <c r="V260" i="3" s="1"/>
  <c r="S262" i="3"/>
  <c r="V262" i="3" s="1"/>
  <c r="U266" i="3"/>
  <c r="S255" i="3"/>
  <c r="V255" i="3" s="1"/>
  <c r="S259" i="3"/>
  <c r="V259" i="3" s="1"/>
  <c r="T251" i="3"/>
  <c r="T252" i="3"/>
  <c r="W252" i="3" s="1"/>
  <c r="T256" i="3"/>
  <c r="W256" i="3" s="1"/>
  <c r="T260" i="3"/>
  <c r="W260" i="3" s="1"/>
  <c r="X260" i="3" s="1"/>
  <c r="S257" i="3"/>
  <c r="V257" i="3" s="1"/>
  <c r="T258" i="3"/>
  <c r="W258" i="3" s="1"/>
  <c r="S253" i="3"/>
  <c r="V253" i="3" s="1"/>
  <c r="T254" i="3"/>
  <c r="W254" i="3" s="1"/>
  <c r="Y248" i="3"/>
  <c r="S251" i="3"/>
  <c r="S261" i="3"/>
  <c r="V261" i="3" s="1"/>
  <c r="T262" i="3"/>
  <c r="W262" i="3" s="1"/>
  <c r="X611" i="3"/>
  <c r="U191" i="3"/>
  <c r="W232" i="2"/>
  <c r="T244" i="2"/>
  <c r="X238" i="3"/>
  <c r="X215" i="3"/>
  <c r="X227" i="3" s="1"/>
  <c r="W227" i="3"/>
  <c r="X214" i="1"/>
  <c r="X226" i="1" s="1"/>
  <c r="W226" i="1"/>
  <c r="Y209" i="2"/>
  <c r="X193" i="2"/>
  <c r="X236" i="2"/>
  <c r="S252" i="2"/>
  <c r="V252" i="2" s="1"/>
  <c r="S254" i="2"/>
  <c r="V254" i="2" s="1"/>
  <c r="S256" i="2"/>
  <c r="V256" i="2" s="1"/>
  <c r="S258" i="2"/>
  <c r="V258" i="2" s="1"/>
  <c r="S260" i="2"/>
  <c r="V260" i="2" s="1"/>
  <c r="T252" i="2"/>
  <c r="W252" i="2" s="1"/>
  <c r="X252" i="2" s="1"/>
  <c r="T254" i="2"/>
  <c r="W254" i="2" s="1"/>
  <c r="T256" i="2"/>
  <c r="W256" i="2" s="1"/>
  <c r="X256" i="2" s="1"/>
  <c r="T258" i="2"/>
  <c r="W258" i="2" s="1"/>
  <c r="X258" i="2" s="1"/>
  <c r="T260" i="2"/>
  <c r="W260" i="2" s="1"/>
  <c r="X260" i="2" s="1"/>
  <c r="U265" i="2"/>
  <c r="S251" i="2"/>
  <c r="V251" i="2" s="1"/>
  <c r="S255" i="2"/>
  <c r="V255" i="2" s="1"/>
  <c r="S259" i="2"/>
  <c r="V259" i="2" s="1"/>
  <c r="S250" i="2"/>
  <c r="T253" i="2"/>
  <c r="W253" i="2" s="1"/>
  <c r="X253" i="2" s="1"/>
  <c r="T257" i="2"/>
  <c r="W257" i="2" s="1"/>
  <c r="T261" i="2"/>
  <c r="W261" i="2" s="1"/>
  <c r="X261" i="2" s="1"/>
  <c r="T251" i="2"/>
  <c r="W251" i="2" s="1"/>
  <c r="X251" i="2" s="1"/>
  <c r="T259" i="2"/>
  <c r="W259" i="2" s="1"/>
  <c r="T250" i="2"/>
  <c r="S257" i="2"/>
  <c r="V257" i="2" s="1"/>
  <c r="S261" i="2"/>
  <c r="V261" i="2" s="1"/>
  <c r="S253" i="2"/>
  <c r="V253" i="2" s="1"/>
  <c r="T255" i="2"/>
  <c r="W255" i="2" s="1"/>
  <c r="X255" i="2" s="1"/>
  <c r="X242" i="2"/>
  <c r="X243" i="2"/>
  <c r="X235" i="2"/>
  <c r="W616" i="3"/>
  <c r="X610" i="1"/>
  <c r="U190" i="1"/>
  <c r="X238" i="1"/>
  <c r="X241" i="1"/>
  <c r="X233" i="1"/>
  <c r="X242" i="3"/>
  <c r="V233" i="3"/>
  <c r="V245" i="3" s="1"/>
  <c r="S245" i="3"/>
  <c r="W615" i="3"/>
  <c r="W613" i="3"/>
  <c r="X239" i="2"/>
  <c r="V232" i="2"/>
  <c r="V244" i="2" s="1"/>
  <c r="S244" i="2"/>
  <c r="R244" i="2" s="1"/>
  <c r="W232" i="1"/>
  <c r="T244" i="1"/>
  <c r="X239" i="3"/>
  <c r="W233" i="3"/>
  <c r="T245" i="3"/>
  <c r="W613" i="2"/>
  <c r="W611" i="2"/>
  <c r="W615" i="2"/>
  <c r="W614" i="2" s="1"/>
  <c r="X615" i="2"/>
  <c r="X614" i="2" s="1"/>
  <c r="X158" i="3"/>
  <c r="X237" i="2"/>
  <c r="X235" i="1"/>
  <c r="X610" i="2"/>
  <c r="U190" i="2"/>
  <c r="X244" i="3"/>
  <c r="X236" i="3"/>
  <c r="X214" i="2"/>
  <c r="X226" i="2" s="1"/>
  <c r="W226" i="2"/>
  <c r="Y209" i="1"/>
  <c r="X193" i="1"/>
  <c r="X241" i="2"/>
  <c r="X233" i="2"/>
  <c r="V614" i="3"/>
  <c r="T252" i="1"/>
  <c r="W252" i="1" s="1"/>
  <c r="T254" i="1"/>
  <c r="W254" i="1" s="1"/>
  <c r="T256" i="1"/>
  <c r="W256" i="1" s="1"/>
  <c r="X256" i="1" s="1"/>
  <c r="T258" i="1"/>
  <c r="W258" i="1" s="1"/>
  <c r="T260" i="1"/>
  <c r="W260" i="1" s="1"/>
  <c r="U265" i="1"/>
  <c r="S251" i="1"/>
  <c r="V251" i="1" s="1"/>
  <c r="S253" i="1"/>
  <c r="V253" i="1" s="1"/>
  <c r="S255" i="1"/>
  <c r="V255" i="1" s="1"/>
  <c r="S257" i="1"/>
  <c r="V257" i="1" s="1"/>
  <c r="S259" i="1"/>
  <c r="V259" i="1" s="1"/>
  <c r="S261" i="1"/>
  <c r="V261" i="1" s="1"/>
  <c r="S252" i="1"/>
  <c r="V252" i="1" s="1"/>
  <c r="S256" i="1"/>
  <c r="V256" i="1" s="1"/>
  <c r="S260" i="1"/>
  <c r="V260" i="1" s="1"/>
  <c r="T253" i="1"/>
  <c r="W253" i="1" s="1"/>
  <c r="X253" i="1" s="1"/>
  <c r="T257" i="1"/>
  <c r="W257" i="1" s="1"/>
  <c r="T261" i="1"/>
  <c r="W261" i="1" s="1"/>
  <c r="X261" i="1" s="1"/>
  <c r="S250" i="1"/>
  <c r="S258" i="1"/>
  <c r="V258" i="1" s="1"/>
  <c r="T250" i="1"/>
  <c r="S254" i="1"/>
  <c r="V254" i="1" s="1"/>
  <c r="T259" i="1"/>
  <c r="W259" i="1" s="1"/>
  <c r="X259" i="1" s="1"/>
  <c r="T255" i="1"/>
  <c r="W255" i="1" s="1"/>
  <c r="T251" i="1"/>
  <c r="W251" i="1" s="1"/>
  <c r="V232" i="1"/>
  <c r="V244" i="1" s="1"/>
  <c r="S244" i="1"/>
  <c r="X239" i="1"/>
  <c r="X258" i="3" l="1"/>
  <c r="X255" i="3"/>
  <c r="X256" i="3"/>
  <c r="X254" i="3"/>
  <c r="X613" i="1"/>
  <c r="X611" i="1"/>
  <c r="T269" i="1"/>
  <c r="W269" i="1" s="1"/>
  <c r="X269" i="1" s="1"/>
  <c r="T271" i="1"/>
  <c r="W271" i="1" s="1"/>
  <c r="T273" i="1"/>
  <c r="W273" i="1" s="1"/>
  <c r="T275" i="1"/>
  <c r="W275" i="1" s="1"/>
  <c r="X275" i="1" s="1"/>
  <c r="T277" i="1"/>
  <c r="W277" i="1" s="1"/>
  <c r="X277" i="1" s="1"/>
  <c r="T279" i="1"/>
  <c r="W279" i="1" s="1"/>
  <c r="T268" i="1"/>
  <c r="S268" i="1"/>
  <c r="S270" i="1"/>
  <c r="V270" i="1" s="1"/>
  <c r="S272" i="1"/>
  <c r="V272" i="1" s="1"/>
  <c r="S274" i="1"/>
  <c r="V274" i="1" s="1"/>
  <c r="S276" i="1"/>
  <c r="V276" i="1" s="1"/>
  <c r="S278" i="1"/>
  <c r="V278" i="1" s="1"/>
  <c r="T272" i="1"/>
  <c r="W272" i="1" s="1"/>
  <c r="X272" i="1" s="1"/>
  <c r="T276" i="1"/>
  <c r="W276" i="1" s="1"/>
  <c r="S269" i="1"/>
  <c r="V269" i="1" s="1"/>
  <c r="S273" i="1"/>
  <c r="V273" i="1" s="1"/>
  <c r="S277" i="1"/>
  <c r="V277" i="1" s="1"/>
  <c r="T270" i="1"/>
  <c r="W270" i="1" s="1"/>
  <c r="T278" i="1"/>
  <c r="W278" i="1" s="1"/>
  <c r="T274" i="1"/>
  <c r="W274" i="1" s="1"/>
  <c r="X274" i="1" s="1"/>
  <c r="S275" i="1"/>
  <c r="V275" i="1" s="1"/>
  <c r="S271" i="1"/>
  <c r="V271" i="1" s="1"/>
  <c r="U283" i="1"/>
  <c r="S279" i="1"/>
  <c r="V279" i="1" s="1"/>
  <c r="X614" i="1"/>
  <c r="X261" i="3"/>
  <c r="X253" i="3"/>
  <c r="Y611" i="3"/>
  <c r="U209" i="3"/>
  <c r="V250" i="1"/>
  <c r="V262" i="1" s="1"/>
  <c r="S262" i="1"/>
  <c r="Y228" i="3"/>
  <c r="X232" i="2"/>
  <c r="X244" i="2" s="1"/>
  <c r="W244" i="2"/>
  <c r="X613" i="3"/>
  <c r="X615" i="3"/>
  <c r="W251" i="3"/>
  <c r="T263" i="3"/>
  <c r="X257" i="3"/>
  <c r="X254" i="1"/>
  <c r="Y610" i="1"/>
  <c r="U208" i="1"/>
  <c r="W250" i="2"/>
  <c r="T262" i="2"/>
  <c r="X257" i="2"/>
  <c r="Y610" i="2"/>
  <c r="U208" i="2"/>
  <c r="X262" i="3"/>
  <c r="X251" i="1"/>
  <c r="T262" i="1"/>
  <c r="W250" i="1"/>
  <c r="X257" i="1"/>
  <c r="X260" i="1"/>
  <c r="X252" i="1"/>
  <c r="W614" i="3"/>
  <c r="Y616" i="3"/>
  <c r="X259" i="2"/>
  <c r="X255" i="1"/>
  <c r="X258" i="1"/>
  <c r="Y227" i="2"/>
  <c r="X211" i="2"/>
  <c r="X613" i="2"/>
  <c r="X611" i="2"/>
  <c r="X616" i="3"/>
  <c r="Y159" i="3"/>
  <c r="X233" i="3"/>
  <c r="X245" i="3" s="1"/>
  <c r="W245" i="3"/>
  <c r="W244" i="1"/>
  <c r="X232" i="1"/>
  <c r="X244" i="1" s="1"/>
  <c r="V250" i="2"/>
  <c r="V262" i="2" s="1"/>
  <c r="S262" i="2"/>
  <c r="R262" i="2" s="1"/>
  <c r="T270" i="2"/>
  <c r="W270" i="2" s="1"/>
  <c r="T272" i="2"/>
  <c r="W272" i="2" s="1"/>
  <c r="T274" i="2"/>
  <c r="W274" i="2" s="1"/>
  <c r="T276" i="2"/>
  <c r="W276" i="2" s="1"/>
  <c r="T278" i="2"/>
  <c r="W278" i="2" s="1"/>
  <c r="X278" i="2" s="1"/>
  <c r="U283" i="2"/>
  <c r="S269" i="2"/>
  <c r="V269" i="2" s="1"/>
  <c r="S271" i="2"/>
  <c r="V271" i="2" s="1"/>
  <c r="S273" i="2"/>
  <c r="V273" i="2" s="1"/>
  <c r="S275" i="2"/>
  <c r="V275" i="2" s="1"/>
  <c r="S277" i="2"/>
  <c r="V277" i="2" s="1"/>
  <c r="S279" i="2"/>
  <c r="V279" i="2" s="1"/>
  <c r="S270" i="2"/>
  <c r="V270" i="2" s="1"/>
  <c r="S274" i="2"/>
  <c r="V274" i="2" s="1"/>
  <c r="S278" i="2"/>
  <c r="V278" i="2" s="1"/>
  <c r="S268" i="2"/>
  <c r="T271" i="2"/>
  <c r="W271" i="2" s="1"/>
  <c r="X271" i="2" s="1"/>
  <c r="T275" i="2"/>
  <c r="W275" i="2" s="1"/>
  <c r="X275" i="2" s="1"/>
  <c r="T279" i="2"/>
  <c r="W279" i="2" s="1"/>
  <c r="S276" i="2"/>
  <c r="V276" i="2" s="1"/>
  <c r="T269" i="2"/>
  <c r="W269" i="2" s="1"/>
  <c r="X269" i="2" s="1"/>
  <c r="T277" i="2"/>
  <c r="W277" i="2" s="1"/>
  <c r="X277" i="2" s="1"/>
  <c r="T268" i="2"/>
  <c r="S272" i="2"/>
  <c r="V272" i="2" s="1"/>
  <c r="T273" i="2"/>
  <c r="W273" i="2" s="1"/>
  <c r="X273" i="2" s="1"/>
  <c r="X254" i="2"/>
  <c r="Y227" i="1"/>
  <c r="X211" i="1"/>
  <c r="V251" i="3"/>
  <c r="V263" i="3" s="1"/>
  <c r="S263" i="3"/>
  <c r="X252" i="3"/>
  <c r="T271" i="3"/>
  <c r="W271" i="3" s="1"/>
  <c r="T273" i="3"/>
  <c r="W273" i="3" s="1"/>
  <c r="T275" i="3"/>
  <c r="W275" i="3" s="1"/>
  <c r="T277" i="3"/>
  <c r="W277" i="3" s="1"/>
  <c r="T279" i="3"/>
  <c r="W279" i="3" s="1"/>
  <c r="S270" i="3"/>
  <c r="V270" i="3" s="1"/>
  <c r="S272" i="3"/>
  <c r="V272" i="3" s="1"/>
  <c r="S274" i="3"/>
  <c r="V274" i="3" s="1"/>
  <c r="S276" i="3"/>
  <c r="V276" i="3" s="1"/>
  <c r="S278" i="3"/>
  <c r="V278" i="3" s="1"/>
  <c r="S280" i="3"/>
  <c r="V280" i="3" s="1"/>
  <c r="U284" i="3"/>
  <c r="S269" i="3"/>
  <c r="T272" i="3"/>
  <c r="W272" i="3" s="1"/>
  <c r="T276" i="3"/>
  <c r="W276" i="3" s="1"/>
  <c r="T280" i="3"/>
  <c r="W280" i="3" s="1"/>
  <c r="S273" i="3"/>
  <c r="V273" i="3" s="1"/>
  <c r="S277" i="3"/>
  <c r="V277" i="3" s="1"/>
  <c r="S271" i="3"/>
  <c r="V271" i="3" s="1"/>
  <c r="S279" i="3"/>
  <c r="V279" i="3" s="1"/>
  <c r="T270" i="3"/>
  <c r="W270" i="3" s="1"/>
  <c r="T278" i="3"/>
  <c r="W278" i="3" s="1"/>
  <c r="X278" i="3" s="1"/>
  <c r="T269" i="3"/>
  <c r="S275" i="3"/>
  <c r="V275" i="3" s="1"/>
  <c r="Y266" i="3"/>
  <c r="T274" i="3"/>
  <c r="W274" i="3" s="1"/>
  <c r="X259" i="3"/>
  <c r="X274" i="3" l="1"/>
  <c r="X279" i="3"/>
  <c r="X276" i="3"/>
  <c r="X275" i="3"/>
  <c r="X272" i="3"/>
  <c r="X273" i="3"/>
  <c r="X270" i="2"/>
  <c r="Y613" i="1"/>
  <c r="Y611" i="1"/>
  <c r="Z611" i="3"/>
  <c r="U227" i="3"/>
  <c r="X270" i="3"/>
  <c r="V269" i="3"/>
  <c r="V281" i="3" s="1"/>
  <c r="S281" i="3"/>
  <c r="X271" i="3"/>
  <c r="V268" i="2"/>
  <c r="V280" i="2" s="1"/>
  <c r="S280" i="2"/>
  <c r="R280" i="2" s="1"/>
  <c r="X276" i="2"/>
  <c r="Y614" i="3"/>
  <c r="X250" i="1"/>
  <c r="X262" i="1" s="1"/>
  <c r="W262" i="1"/>
  <c r="X251" i="3"/>
  <c r="X263" i="3" s="1"/>
  <c r="W263" i="3"/>
  <c r="X614" i="3"/>
  <c r="Y615" i="3"/>
  <c r="T288" i="1"/>
  <c r="W288" i="1" s="1"/>
  <c r="T290" i="1"/>
  <c r="W290" i="1" s="1"/>
  <c r="T292" i="1"/>
  <c r="W292" i="1" s="1"/>
  <c r="X292" i="1" s="1"/>
  <c r="T294" i="1"/>
  <c r="W294" i="1" s="1"/>
  <c r="T296" i="1"/>
  <c r="W296" i="1" s="1"/>
  <c r="U301" i="1"/>
  <c r="S287" i="1"/>
  <c r="V287" i="1" s="1"/>
  <c r="S289" i="1"/>
  <c r="V289" i="1" s="1"/>
  <c r="S291" i="1"/>
  <c r="V291" i="1" s="1"/>
  <c r="S293" i="1"/>
  <c r="V293" i="1" s="1"/>
  <c r="S295" i="1"/>
  <c r="V295" i="1" s="1"/>
  <c r="S297" i="1"/>
  <c r="V297" i="1" s="1"/>
  <c r="S288" i="1"/>
  <c r="V288" i="1" s="1"/>
  <c r="S292" i="1"/>
  <c r="V292" i="1" s="1"/>
  <c r="S296" i="1"/>
  <c r="V296" i="1" s="1"/>
  <c r="T289" i="1"/>
  <c r="W289" i="1" s="1"/>
  <c r="X289" i="1" s="1"/>
  <c r="T293" i="1"/>
  <c r="W293" i="1" s="1"/>
  <c r="T297" i="1"/>
  <c r="W297" i="1" s="1"/>
  <c r="X297" i="1" s="1"/>
  <c r="S286" i="1"/>
  <c r="S294" i="1"/>
  <c r="V294" i="1" s="1"/>
  <c r="T286" i="1"/>
  <c r="S290" i="1"/>
  <c r="V290" i="1" s="1"/>
  <c r="T295" i="1"/>
  <c r="W295" i="1" s="1"/>
  <c r="X295" i="1" s="1"/>
  <c r="T291" i="1"/>
  <c r="W291" i="1" s="1"/>
  <c r="X291" i="1" s="1"/>
  <c r="T287" i="1"/>
  <c r="W287" i="1" s="1"/>
  <c r="X278" i="1"/>
  <c r="V268" i="1"/>
  <c r="V280" i="1" s="1"/>
  <c r="S280" i="1"/>
  <c r="X280" i="3"/>
  <c r="T289" i="3"/>
  <c r="W289" i="3" s="1"/>
  <c r="T291" i="3"/>
  <c r="W291" i="3" s="1"/>
  <c r="T293" i="3"/>
  <c r="W293" i="3" s="1"/>
  <c r="T295" i="3"/>
  <c r="W295" i="3" s="1"/>
  <c r="T297" i="3"/>
  <c r="W297" i="3" s="1"/>
  <c r="S288" i="3"/>
  <c r="V288" i="3" s="1"/>
  <c r="S290" i="3"/>
  <c r="V290" i="3" s="1"/>
  <c r="S292" i="3"/>
  <c r="V292" i="3" s="1"/>
  <c r="S294" i="3"/>
  <c r="V294" i="3" s="1"/>
  <c r="S296" i="3"/>
  <c r="V296" i="3" s="1"/>
  <c r="S298" i="3"/>
  <c r="V298" i="3" s="1"/>
  <c r="U302" i="3"/>
  <c r="S289" i="3"/>
  <c r="V289" i="3" s="1"/>
  <c r="S293" i="3"/>
  <c r="V293" i="3" s="1"/>
  <c r="S297" i="3"/>
  <c r="V297" i="3" s="1"/>
  <c r="S287" i="3"/>
  <c r="T290" i="3"/>
  <c r="W290" i="3" s="1"/>
  <c r="T294" i="3"/>
  <c r="W294" i="3" s="1"/>
  <c r="T298" i="3"/>
  <c r="W298" i="3" s="1"/>
  <c r="X298" i="3" s="1"/>
  <c r="T287" i="3"/>
  <c r="S291" i="3"/>
  <c r="V291" i="3" s="1"/>
  <c r="T292" i="3"/>
  <c r="W292" i="3" s="1"/>
  <c r="S295" i="3"/>
  <c r="V295" i="3" s="1"/>
  <c r="T296" i="3"/>
  <c r="W296" i="3" s="1"/>
  <c r="Y284" i="3"/>
  <c r="T288" i="3"/>
  <c r="W288" i="3" s="1"/>
  <c r="X288" i="3" s="1"/>
  <c r="X277" i="3"/>
  <c r="Z610" i="1"/>
  <c r="U226" i="1"/>
  <c r="W268" i="2"/>
  <c r="T280" i="2"/>
  <c r="X279" i="2"/>
  <c r="X274" i="2"/>
  <c r="Y246" i="3"/>
  <c r="X250" i="2"/>
  <c r="X262" i="2" s="1"/>
  <c r="W262" i="2"/>
  <c r="Z614" i="1"/>
  <c r="Y245" i="2"/>
  <c r="X229" i="2"/>
  <c r="X270" i="1"/>
  <c r="X276" i="1"/>
  <c r="W268" i="1"/>
  <c r="T280" i="1"/>
  <c r="X273" i="1"/>
  <c r="Y614" i="1"/>
  <c r="X176" i="3"/>
  <c r="W269" i="3"/>
  <c r="T281" i="3"/>
  <c r="S287" i="2"/>
  <c r="V287" i="2" s="1"/>
  <c r="S289" i="2"/>
  <c r="V289" i="2" s="1"/>
  <c r="S291" i="2"/>
  <c r="V291" i="2" s="1"/>
  <c r="S293" i="2"/>
  <c r="V293" i="2" s="1"/>
  <c r="S295" i="2"/>
  <c r="V295" i="2" s="1"/>
  <c r="S297" i="2"/>
  <c r="V297" i="2" s="1"/>
  <c r="T286" i="2"/>
  <c r="S286" i="2"/>
  <c r="T287" i="2"/>
  <c r="W287" i="2" s="1"/>
  <c r="X287" i="2" s="1"/>
  <c r="T289" i="2"/>
  <c r="W289" i="2" s="1"/>
  <c r="X289" i="2" s="1"/>
  <c r="T291" i="2"/>
  <c r="W291" i="2" s="1"/>
  <c r="X291" i="2" s="1"/>
  <c r="T293" i="2"/>
  <c r="W293" i="2" s="1"/>
  <c r="X293" i="2" s="1"/>
  <c r="T295" i="2"/>
  <c r="W295" i="2" s="1"/>
  <c r="X295" i="2" s="1"/>
  <c r="T297" i="2"/>
  <c r="W297" i="2" s="1"/>
  <c r="X297" i="2" s="1"/>
  <c r="T290" i="2"/>
  <c r="W290" i="2" s="1"/>
  <c r="X290" i="2" s="1"/>
  <c r="T294" i="2"/>
  <c r="W294" i="2" s="1"/>
  <c r="U301" i="2"/>
  <c r="S290" i="2"/>
  <c r="V290" i="2" s="1"/>
  <c r="S294" i="2"/>
  <c r="V294" i="2" s="1"/>
  <c r="T292" i="2"/>
  <c r="W292" i="2" s="1"/>
  <c r="X292" i="2" s="1"/>
  <c r="S292" i="2"/>
  <c r="V292" i="2" s="1"/>
  <c r="T296" i="2"/>
  <c r="W296" i="2" s="1"/>
  <c r="S296" i="2"/>
  <c r="V296" i="2" s="1"/>
  <c r="T288" i="2"/>
  <c r="W288" i="2" s="1"/>
  <c r="X288" i="2" s="1"/>
  <c r="S288" i="2"/>
  <c r="V288" i="2" s="1"/>
  <c r="X272" i="2"/>
  <c r="Y245" i="1"/>
  <c r="X229" i="1"/>
  <c r="Z610" i="2"/>
  <c r="U226" i="2"/>
  <c r="Y611" i="2"/>
  <c r="Y613" i="2"/>
  <c r="Y615" i="2"/>
  <c r="Y614" i="2" s="1"/>
  <c r="X279" i="1"/>
  <c r="X271" i="1"/>
  <c r="X294" i="3" l="1"/>
  <c r="X292" i="3"/>
  <c r="X290" i="3"/>
  <c r="X297" i="3"/>
  <c r="X291" i="3"/>
  <c r="AA610" i="1"/>
  <c r="U244" i="1"/>
  <c r="V286" i="1"/>
  <c r="V298" i="1" s="1"/>
  <c r="S298" i="1"/>
  <c r="Z613" i="3"/>
  <c r="Z615" i="3"/>
  <c r="Z616" i="3"/>
  <c r="X290" i="1"/>
  <c r="X294" i="2"/>
  <c r="V286" i="2"/>
  <c r="V298" i="2" s="1"/>
  <c r="S298" i="2"/>
  <c r="R298" i="2" s="1"/>
  <c r="X293" i="3"/>
  <c r="X294" i="1"/>
  <c r="Y264" i="3"/>
  <c r="W286" i="2"/>
  <c r="T298" i="2"/>
  <c r="X269" i="3"/>
  <c r="X281" i="3" s="1"/>
  <c r="W281" i="3"/>
  <c r="AA611" i="3"/>
  <c r="U245" i="3"/>
  <c r="X268" i="2"/>
  <c r="X280" i="2" s="1"/>
  <c r="W280" i="2"/>
  <c r="X296" i="2"/>
  <c r="X289" i="3"/>
  <c r="T305" i="1"/>
  <c r="W305" i="1" s="1"/>
  <c r="T307" i="1"/>
  <c r="W307" i="1" s="1"/>
  <c r="T309" i="1"/>
  <c r="W309" i="1" s="1"/>
  <c r="X309" i="1" s="1"/>
  <c r="T311" i="1"/>
  <c r="W311" i="1" s="1"/>
  <c r="T313" i="1"/>
  <c r="W313" i="1" s="1"/>
  <c r="T315" i="1"/>
  <c r="W315" i="1" s="1"/>
  <c r="X315" i="1" s="1"/>
  <c r="T304" i="1"/>
  <c r="S304" i="1"/>
  <c r="S306" i="1"/>
  <c r="V306" i="1" s="1"/>
  <c r="S308" i="1"/>
  <c r="V308" i="1" s="1"/>
  <c r="S310" i="1"/>
  <c r="V310" i="1" s="1"/>
  <c r="S312" i="1"/>
  <c r="V312" i="1" s="1"/>
  <c r="S314" i="1"/>
  <c r="V314" i="1" s="1"/>
  <c r="T308" i="1"/>
  <c r="W308" i="1" s="1"/>
  <c r="X308" i="1" s="1"/>
  <c r="T312" i="1"/>
  <c r="W312" i="1" s="1"/>
  <c r="X312" i="1" s="1"/>
  <c r="S305" i="1"/>
  <c r="V305" i="1" s="1"/>
  <c r="S309" i="1"/>
  <c r="V309" i="1" s="1"/>
  <c r="S313" i="1"/>
  <c r="V313" i="1" s="1"/>
  <c r="T306" i="1"/>
  <c r="W306" i="1" s="1"/>
  <c r="X306" i="1" s="1"/>
  <c r="T314" i="1"/>
  <c r="W314" i="1" s="1"/>
  <c r="X314" i="1" s="1"/>
  <c r="T310" i="1"/>
  <c r="W310" i="1" s="1"/>
  <c r="S311" i="1"/>
  <c r="V311" i="1" s="1"/>
  <c r="S307" i="1"/>
  <c r="V307" i="1" s="1"/>
  <c r="U319" i="1"/>
  <c r="S315" i="1"/>
  <c r="V315" i="1" s="1"/>
  <c r="X247" i="1"/>
  <c r="Y263" i="1"/>
  <c r="Z611" i="2"/>
  <c r="Z613" i="2"/>
  <c r="Z615" i="2"/>
  <c r="Z614" i="2" s="1"/>
  <c r="S306" i="2"/>
  <c r="V306" i="2" s="1"/>
  <c r="S308" i="2"/>
  <c r="V308" i="2" s="1"/>
  <c r="S310" i="2"/>
  <c r="V310" i="2" s="1"/>
  <c r="S312" i="2"/>
  <c r="V312" i="2" s="1"/>
  <c r="T306" i="2"/>
  <c r="W306" i="2" s="1"/>
  <c r="X306" i="2" s="1"/>
  <c r="T308" i="2"/>
  <c r="W308" i="2" s="1"/>
  <c r="X308" i="2" s="1"/>
  <c r="T310" i="2"/>
  <c r="W310" i="2" s="1"/>
  <c r="X310" i="2" s="1"/>
  <c r="T312" i="2"/>
  <c r="W312" i="2" s="1"/>
  <c r="X312" i="2" s="1"/>
  <c r="S304" i="2"/>
  <c r="T307" i="2"/>
  <c r="W307" i="2" s="1"/>
  <c r="T311" i="2"/>
  <c r="W311" i="2" s="1"/>
  <c r="T315" i="2"/>
  <c r="W315" i="2" s="1"/>
  <c r="U319" i="2"/>
  <c r="T304" i="2"/>
  <c r="S307" i="2"/>
  <c r="V307" i="2" s="1"/>
  <c r="S311" i="2"/>
  <c r="V311" i="2" s="1"/>
  <c r="S314" i="2"/>
  <c r="V314" i="2" s="1"/>
  <c r="T309" i="2"/>
  <c r="W309" i="2" s="1"/>
  <c r="T314" i="2"/>
  <c r="W314" i="2" s="1"/>
  <c r="S309" i="2"/>
  <c r="V309" i="2" s="1"/>
  <c r="S315" i="2"/>
  <c r="V315" i="2" s="1"/>
  <c r="S313" i="2"/>
  <c r="V313" i="2" s="1"/>
  <c r="T305" i="2"/>
  <c r="W305" i="2" s="1"/>
  <c r="S305" i="2"/>
  <c r="V305" i="2" s="1"/>
  <c r="T313" i="2"/>
  <c r="W313" i="2" s="1"/>
  <c r="X313" i="2" s="1"/>
  <c r="Y177" i="3"/>
  <c r="W280" i="1"/>
  <c r="X268" i="1"/>
  <c r="X280" i="1" s="1"/>
  <c r="AA610" i="2"/>
  <c r="U244" i="2"/>
  <c r="Y263" i="2"/>
  <c r="X247" i="2"/>
  <c r="Z611" i="1"/>
  <c r="Z613" i="1"/>
  <c r="AA614" i="1"/>
  <c r="X296" i="3"/>
  <c r="W287" i="3"/>
  <c r="T299" i="3"/>
  <c r="V287" i="3"/>
  <c r="V299" i="3" s="1"/>
  <c r="S299" i="3"/>
  <c r="T307" i="3"/>
  <c r="W307" i="3" s="1"/>
  <c r="T309" i="3"/>
  <c r="W309" i="3" s="1"/>
  <c r="T311" i="3"/>
  <c r="W311" i="3" s="1"/>
  <c r="T313" i="3"/>
  <c r="W313" i="3" s="1"/>
  <c r="T315" i="3"/>
  <c r="W315" i="3" s="1"/>
  <c r="S306" i="3"/>
  <c r="V306" i="3" s="1"/>
  <c r="S308" i="3"/>
  <c r="V308" i="3" s="1"/>
  <c r="S310" i="3"/>
  <c r="V310" i="3" s="1"/>
  <c r="S312" i="3"/>
  <c r="V312" i="3" s="1"/>
  <c r="S314" i="3"/>
  <c r="V314" i="3" s="1"/>
  <c r="S316" i="3"/>
  <c r="V316" i="3" s="1"/>
  <c r="U320" i="3"/>
  <c r="T305" i="3"/>
  <c r="T306" i="3"/>
  <c r="W306" i="3" s="1"/>
  <c r="X306" i="3" s="1"/>
  <c r="T310" i="3"/>
  <c r="W310" i="3" s="1"/>
  <c r="T314" i="3"/>
  <c r="W314" i="3" s="1"/>
  <c r="S307" i="3"/>
  <c r="V307" i="3" s="1"/>
  <c r="S311" i="3"/>
  <c r="V311" i="3" s="1"/>
  <c r="S315" i="3"/>
  <c r="V315" i="3" s="1"/>
  <c r="S313" i="3"/>
  <c r="V313" i="3" s="1"/>
  <c r="T312" i="3"/>
  <c r="W312" i="3" s="1"/>
  <c r="X312" i="3" s="1"/>
  <c r="T308" i="3"/>
  <c r="W308" i="3" s="1"/>
  <c r="S309" i="3"/>
  <c r="V309" i="3" s="1"/>
  <c r="S305" i="3"/>
  <c r="T316" i="3"/>
  <c r="W316" i="3" s="1"/>
  <c r="Y302" i="3"/>
  <c r="X295" i="3"/>
  <c r="X287" i="1"/>
  <c r="T298" i="1"/>
  <c r="W286" i="1"/>
  <c r="X293" i="1"/>
  <c r="X296" i="1"/>
  <c r="X288" i="1"/>
  <c r="X311" i="3" l="1"/>
  <c r="X314" i="3"/>
  <c r="Y281" i="1"/>
  <c r="X265" i="1"/>
  <c r="S323" i="2"/>
  <c r="V323" i="2" s="1"/>
  <c r="S325" i="2"/>
  <c r="V325" i="2" s="1"/>
  <c r="S327" i="2"/>
  <c r="V327" i="2" s="1"/>
  <c r="S329" i="2"/>
  <c r="V329" i="2" s="1"/>
  <c r="S331" i="2"/>
  <c r="V331" i="2" s="1"/>
  <c r="S333" i="2"/>
  <c r="V333" i="2" s="1"/>
  <c r="T322" i="2"/>
  <c r="S322" i="2"/>
  <c r="T323" i="2"/>
  <c r="W323" i="2" s="1"/>
  <c r="X323" i="2" s="1"/>
  <c r="T325" i="2"/>
  <c r="W325" i="2" s="1"/>
  <c r="X325" i="2" s="1"/>
  <c r="T327" i="2"/>
  <c r="W327" i="2" s="1"/>
  <c r="X327" i="2" s="1"/>
  <c r="T329" i="2"/>
  <c r="W329" i="2" s="1"/>
  <c r="X329" i="2" s="1"/>
  <c r="T331" i="2"/>
  <c r="W331" i="2" s="1"/>
  <c r="X331" i="2" s="1"/>
  <c r="T333" i="2"/>
  <c r="W333" i="2" s="1"/>
  <c r="X333" i="2" s="1"/>
  <c r="U337" i="2"/>
  <c r="S326" i="2"/>
  <c r="V326" i="2" s="1"/>
  <c r="S330" i="2"/>
  <c r="V330" i="2" s="1"/>
  <c r="T324" i="2"/>
  <c r="W324" i="2" s="1"/>
  <c r="X324" i="2" s="1"/>
  <c r="T328" i="2"/>
  <c r="W328" i="2" s="1"/>
  <c r="X328" i="2" s="1"/>
  <c r="T332" i="2"/>
  <c r="W332" i="2" s="1"/>
  <c r="S328" i="2"/>
  <c r="V328" i="2" s="1"/>
  <c r="T326" i="2"/>
  <c r="W326" i="2" s="1"/>
  <c r="X326" i="2" s="1"/>
  <c r="S324" i="2"/>
  <c r="V324" i="2" s="1"/>
  <c r="S332" i="2"/>
  <c r="V332" i="2" s="1"/>
  <c r="T330" i="2"/>
  <c r="W330" i="2" s="1"/>
  <c r="X330" i="2" s="1"/>
  <c r="AA615" i="3"/>
  <c r="AA613" i="3"/>
  <c r="AA616" i="3"/>
  <c r="AA614" i="3" s="1"/>
  <c r="X310" i="3"/>
  <c r="AB610" i="2"/>
  <c r="U262" i="2"/>
  <c r="X315" i="2"/>
  <c r="Z614" i="3"/>
  <c r="X316" i="3"/>
  <c r="W305" i="3"/>
  <c r="T317" i="3"/>
  <c r="X315" i="3"/>
  <c r="X307" i="3"/>
  <c r="X287" i="3"/>
  <c r="X299" i="3" s="1"/>
  <c r="W299" i="3"/>
  <c r="AA611" i="2"/>
  <c r="AA613" i="2"/>
  <c r="AA615" i="2"/>
  <c r="AA614" i="2" s="1"/>
  <c r="X194" i="3"/>
  <c r="X309" i="2"/>
  <c r="W304" i="2"/>
  <c r="T316" i="2"/>
  <c r="X307" i="2"/>
  <c r="T324" i="1"/>
  <c r="W324" i="1" s="1"/>
  <c r="T326" i="1"/>
  <c r="W326" i="1" s="1"/>
  <c r="T328" i="1"/>
  <c r="W328" i="1" s="1"/>
  <c r="X328" i="1" s="1"/>
  <c r="T330" i="1"/>
  <c r="W330" i="1" s="1"/>
  <c r="T332" i="1"/>
  <c r="W332" i="1" s="1"/>
  <c r="U337" i="1"/>
  <c r="S323" i="1"/>
  <c r="V323" i="1" s="1"/>
  <c r="S325" i="1"/>
  <c r="V325" i="1" s="1"/>
  <c r="S327" i="1"/>
  <c r="V327" i="1" s="1"/>
  <c r="S329" i="1"/>
  <c r="V329" i="1" s="1"/>
  <c r="S331" i="1"/>
  <c r="V331" i="1" s="1"/>
  <c r="S333" i="1"/>
  <c r="V333" i="1" s="1"/>
  <c r="S324" i="1"/>
  <c r="V324" i="1" s="1"/>
  <c r="S328" i="1"/>
  <c r="V328" i="1" s="1"/>
  <c r="S332" i="1"/>
  <c r="V332" i="1" s="1"/>
  <c r="T325" i="1"/>
  <c r="W325" i="1" s="1"/>
  <c r="X325" i="1" s="1"/>
  <c r="T329" i="1"/>
  <c r="W329" i="1" s="1"/>
  <c r="X329" i="1" s="1"/>
  <c r="T333" i="1"/>
  <c r="W333" i="1" s="1"/>
  <c r="S322" i="1"/>
  <c r="S330" i="1"/>
  <c r="V330" i="1" s="1"/>
  <c r="T322" i="1"/>
  <c r="S326" i="1"/>
  <c r="V326" i="1" s="1"/>
  <c r="T331" i="1"/>
  <c r="W331" i="1" s="1"/>
  <c r="X331" i="1" s="1"/>
  <c r="T327" i="1"/>
  <c r="W327" i="1" s="1"/>
  <c r="T323" i="1"/>
  <c r="W323" i="1" s="1"/>
  <c r="V304" i="1"/>
  <c r="V316" i="1" s="1"/>
  <c r="S316" i="1"/>
  <c r="X311" i="1"/>
  <c r="AA613" i="1"/>
  <c r="AA611" i="1"/>
  <c r="V305" i="3"/>
  <c r="V317" i="3" s="1"/>
  <c r="S317" i="3"/>
  <c r="T325" i="3"/>
  <c r="W325" i="3" s="1"/>
  <c r="T327" i="3"/>
  <c r="W327" i="3" s="1"/>
  <c r="T329" i="3"/>
  <c r="W329" i="3" s="1"/>
  <c r="T331" i="3"/>
  <c r="W331" i="3" s="1"/>
  <c r="T333" i="3"/>
  <c r="W333" i="3" s="1"/>
  <c r="S324" i="3"/>
  <c r="V324" i="3" s="1"/>
  <c r="S326" i="3"/>
  <c r="V326" i="3" s="1"/>
  <c r="S328" i="3"/>
  <c r="V328" i="3" s="1"/>
  <c r="S330" i="3"/>
  <c r="V330" i="3" s="1"/>
  <c r="S332" i="3"/>
  <c r="V332" i="3" s="1"/>
  <c r="S334" i="3"/>
  <c r="V334" i="3" s="1"/>
  <c r="U338" i="3"/>
  <c r="S327" i="3"/>
  <c r="V327" i="3" s="1"/>
  <c r="S331" i="3"/>
  <c r="V331" i="3" s="1"/>
  <c r="T323" i="3"/>
  <c r="T324" i="3"/>
  <c r="W324" i="3" s="1"/>
  <c r="T328" i="3"/>
  <c r="W328" i="3" s="1"/>
  <c r="T332" i="3"/>
  <c r="W332" i="3" s="1"/>
  <c r="S325" i="3"/>
  <c r="V325" i="3" s="1"/>
  <c r="S333" i="3"/>
  <c r="V333" i="3" s="1"/>
  <c r="S323" i="3"/>
  <c r="T326" i="3"/>
  <c r="W326" i="3" s="1"/>
  <c r="T334" i="3"/>
  <c r="W334" i="3" s="1"/>
  <c r="X334" i="3" s="1"/>
  <c r="T330" i="3"/>
  <c r="W330" i="3" s="1"/>
  <c r="Y320" i="3"/>
  <c r="S329" i="3"/>
  <c r="V329" i="3" s="1"/>
  <c r="X313" i="3"/>
  <c r="V304" i="2"/>
  <c r="V316" i="2" s="1"/>
  <c r="S316" i="2"/>
  <c r="R316" i="2" s="1"/>
  <c r="AB610" i="1"/>
  <c r="U262" i="1"/>
  <c r="W304" i="1"/>
  <c r="T316" i="1"/>
  <c r="X286" i="2"/>
  <c r="X298" i="2" s="1"/>
  <c r="W298" i="2"/>
  <c r="X307" i="1"/>
  <c r="X286" i="1"/>
  <c r="X298" i="1" s="1"/>
  <c r="W298" i="1"/>
  <c r="X308" i="3"/>
  <c r="X309" i="3"/>
  <c r="X305" i="2"/>
  <c r="X314" i="2"/>
  <c r="X311" i="2"/>
  <c r="X310" i="1"/>
  <c r="X313" i="1"/>
  <c r="X305" i="1"/>
  <c r="Y281" i="2"/>
  <c r="X265" i="2"/>
  <c r="Y282" i="3"/>
  <c r="AB611" i="3"/>
  <c r="U263" i="3"/>
  <c r="X330" i="3" l="1"/>
  <c r="X326" i="3"/>
  <c r="X327" i="3"/>
  <c r="AB611" i="1"/>
  <c r="AB613" i="1"/>
  <c r="X332" i="3"/>
  <c r="AB614" i="1"/>
  <c r="V322" i="1"/>
  <c r="V334" i="1" s="1"/>
  <c r="S334" i="1"/>
  <c r="Y195" i="3"/>
  <c r="AC611" i="3"/>
  <c r="U281" i="3"/>
  <c r="X283" i="1"/>
  <c r="Y299" i="1"/>
  <c r="W316" i="1"/>
  <c r="X304" i="1"/>
  <c r="X316" i="1" s="1"/>
  <c r="X324" i="3"/>
  <c r="S342" i="3"/>
  <c r="V342" i="3" s="1"/>
  <c r="T342" i="3"/>
  <c r="W342" i="3" s="1"/>
  <c r="T345" i="3"/>
  <c r="W345" i="3" s="1"/>
  <c r="T347" i="3"/>
  <c r="W347" i="3" s="1"/>
  <c r="T349" i="3"/>
  <c r="W349" i="3" s="1"/>
  <c r="T351" i="3"/>
  <c r="W351" i="3" s="1"/>
  <c r="S341" i="3"/>
  <c r="T343" i="3"/>
  <c r="W343" i="3" s="1"/>
  <c r="S344" i="3"/>
  <c r="V344" i="3" s="1"/>
  <c r="S346" i="3"/>
  <c r="V346" i="3" s="1"/>
  <c r="S348" i="3"/>
  <c r="V348" i="3" s="1"/>
  <c r="S350" i="3"/>
  <c r="V350" i="3" s="1"/>
  <c r="S352" i="3"/>
  <c r="V352" i="3" s="1"/>
  <c r="U356" i="3"/>
  <c r="S343" i="3"/>
  <c r="V343" i="3" s="1"/>
  <c r="S347" i="3"/>
  <c r="V347" i="3" s="1"/>
  <c r="S351" i="3"/>
  <c r="V351" i="3" s="1"/>
  <c r="T341" i="3"/>
  <c r="T344" i="3"/>
  <c r="W344" i="3" s="1"/>
  <c r="T348" i="3"/>
  <c r="W348" i="3" s="1"/>
  <c r="T352" i="3"/>
  <c r="W352" i="3" s="1"/>
  <c r="X352" i="3" s="1"/>
  <c r="T346" i="3"/>
  <c r="W346" i="3" s="1"/>
  <c r="X346" i="3" s="1"/>
  <c r="S349" i="3"/>
  <c r="V349" i="3" s="1"/>
  <c r="S345" i="3"/>
  <c r="V345" i="3" s="1"/>
  <c r="Y338" i="3"/>
  <c r="T350" i="3"/>
  <c r="W350" i="3" s="1"/>
  <c r="X331" i="3"/>
  <c r="X323" i="1"/>
  <c r="T334" i="1"/>
  <c r="W322" i="1"/>
  <c r="X332" i="1"/>
  <c r="X324" i="1"/>
  <c r="X332" i="2"/>
  <c r="V322" i="2"/>
  <c r="V334" i="2" s="1"/>
  <c r="S334" i="2"/>
  <c r="AB615" i="3"/>
  <c r="AB613" i="3"/>
  <c r="AB616" i="3"/>
  <c r="AC610" i="2"/>
  <c r="U280" i="2"/>
  <c r="W323" i="3"/>
  <c r="T335" i="3"/>
  <c r="X329" i="3"/>
  <c r="X327" i="1"/>
  <c r="X330" i="1"/>
  <c r="AB613" i="2"/>
  <c r="AB611" i="2"/>
  <c r="AB615" i="2"/>
  <c r="AB614" i="2" s="1"/>
  <c r="T342" i="2"/>
  <c r="W342" i="2" s="1"/>
  <c r="T344" i="2"/>
  <c r="W344" i="2" s="1"/>
  <c r="T346" i="2"/>
  <c r="W346" i="2" s="1"/>
  <c r="X346" i="2" s="1"/>
  <c r="T348" i="2"/>
  <c r="W348" i="2" s="1"/>
  <c r="X348" i="2" s="1"/>
  <c r="T350" i="2"/>
  <c r="W350" i="2" s="1"/>
  <c r="X350" i="2" s="1"/>
  <c r="S341" i="2"/>
  <c r="V341" i="2" s="1"/>
  <c r="S343" i="2"/>
  <c r="V343" i="2" s="1"/>
  <c r="S345" i="2"/>
  <c r="V345" i="2" s="1"/>
  <c r="S347" i="2"/>
  <c r="V347" i="2" s="1"/>
  <c r="S349" i="2"/>
  <c r="V349" i="2" s="1"/>
  <c r="S351" i="2"/>
  <c r="V351" i="2" s="1"/>
  <c r="S342" i="2"/>
  <c r="V342" i="2" s="1"/>
  <c r="S346" i="2"/>
  <c r="V346" i="2" s="1"/>
  <c r="S350" i="2"/>
  <c r="V350" i="2" s="1"/>
  <c r="U355" i="2"/>
  <c r="S340" i="2"/>
  <c r="T343" i="2"/>
  <c r="W343" i="2" s="1"/>
  <c r="T347" i="2"/>
  <c r="W347" i="2" s="1"/>
  <c r="T351" i="2"/>
  <c r="W351" i="2" s="1"/>
  <c r="X351" i="2" s="1"/>
  <c r="T345" i="2"/>
  <c r="W345" i="2" s="1"/>
  <c r="X345" i="2" s="1"/>
  <c r="S348" i="2"/>
  <c r="V348" i="2" s="1"/>
  <c r="T341" i="2"/>
  <c r="W341" i="2" s="1"/>
  <c r="X341" i="2" s="1"/>
  <c r="T349" i="2"/>
  <c r="W349" i="2" s="1"/>
  <c r="X349" i="2" s="1"/>
  <c r="T340" i="2"/>
  <c r="S344" i="2"/>
  <c r="V344" i="2" s="1"/>
  <c r="W322" i="2"/>
  <c r="T334" i="2"/>
  <c r="AC610" i="1"/>
  <c r="U280" i="1"/>
  <c r="Y299" i="2"/>
  <c r="X283" i="2"/>
  <c r="V323" i="3"/>
  <c r="V335" i="3" s="1"/>
  <c r="S335" i="3"/>
  <c r="X328" i="3"/>
  <c r="X333" i="3"/>
  <c r="X325" i="3"/>
  <c r="X333" i="1"/>
  <c r="T341" i="1"/>
  <c r="W341" i="1" s="1"/>
  <c r="T343" i="1"/>
  <c r="W343" i="1" s="1"/>
  <c r="T345" i="1"/>
  <c r="W345" i="1" s="1"/>
  <c r="X345" i="1" s="1"/>
  <c r="T347" i="1"/>
  <c r="W347" i="1" s="1"/>
  <c r="T349" i="1"/>
  <c r="W349" i="1" s="1"/>
  <c r="T351" i="1"/>
  <c r="W351" i="1" s="1"/>
  <c r="X351" i="1" s="1"/>
  <c r="T340" i="1"/>
  <c r="S340" i="1"/>
  <c r="S342" i="1"/>
  <c r="V342" i="1" s="1"/>
  <c r="S344" i="1"/>
  <c r="V344" i="1" s="1"/>
  <c r="S346" i="1"/>
  <c r="V346" i="1" s="1"/>
  <c r="S348" i="1"/>
  <c r="V348" i="1" s="1"/>
  <c r="S350" i="1"/>
  <c r="V350" i="1" s="1"/>
  <c r="T344" i="1"/>
  <c r="W344" i="1" s="1"/>
  <c r="X344" i="1" s="1"/>
  <c r="T348" i="1"/>
  <c r="W348" i="1" s="1"/>
  <c r="X348" i="1" s="1"/>
  <c r="S341" i="1"/>
  <c r="V341" i="1" s="1"/>
  <c r="S345" i="1"/>
  <c r="V345" i="1" s="1"/>
  <c r="S349" i="1"/>
  <c r="V349" i="1" s="1"/>
  <c r="T342" i="1"/>
  <c r="W342" i="1" s="1"/>
  <c r="X342" i="1" s="1"/>
  <c r="T350" i="1"/>
  <c r="W350" i="1" s="1"/>
  <c r="X350" i="1" s="1"/>
  <c r="T346" i="1"/>
  <c r="W346" i="1" s="1"/>
  <c r="S347" i="1"/>
  <c r="V347" i="1" s="1"/>
  <c r="S343" i="1"/>
  <c r="V343" i="1" s="1"/>
  <c r="U355" i="1"/>
  <c r="S351" i="1"/>
  <c r="V351" i="1" s="1"/>
  <c r="X326" i="1"/>
  <c r="X304" i="2"/>
  <c r="X316" i="2" s="1"/>
  <c r="W316" i="2"/>
  <c r="Y300" i="3"/>
  <c r="X305" i="3"/>
  <c r="X317" i="3" s="1"/>
  <c r="W317" i="3"/>
  <c r="AB614" i="3"/>
  <c r="X350" i="3" l="1"/>
  <c r="X344" i="3"/>
  <c r="X345" i="3"/>
  <c r="X351" i="3"/>
  <c r="X342" i="3"/>
  <c r="Y317" i="2"/>
  <c r="X301" i="2"/>
  <c r="W340" i="1"/>
  <c r="T352" i="1"/>
  <c r="AC613" i="1"/>
  <c r="AC611" i="1"/>
  <c r="AD614" i="1"/>
  <c r="V340" i="2"/>
  <c r="V352" i="2" s="1"/>
  <c r="S352" i="2"/>
  <c r="AC611" i="2"/>
  <c r="AC613" i="2"/>
  <c r="AC615" i="2"/>
  <c r="AC614" i="2" s="1"/>
  <c r="X349" i="3"/>
  <c r="AD610" i="1"/>
  <c r="U298" i="1"/>
  <c r="AD611" i="3"/>
  <c r="AD614" i="3" s="1"/>
  <c r="U299" i="3"/>
  <c r="X346" i="1"/>
  <c r="X349" i="1"/>
  <c r="X341" i="1"/>
  <c r="AD610" i="2"/>
  <c r="U298" i="2"/>
  <c r="X322" i="2"/>
  <c r="X334" i="2" s="1"/>
  <c r="W334" i="2"/>
  <c r="X347" i="2"/>
  <c r="X344" i="2"/>
  <c r="X348" i="3"/>
  <c r="X343" i="3"/>
  <c r="X347" i="3"/>
  <c r="X212" i="3"/>
  <c r="Y318" i="3"/>
  <c r="W340" i="2"/>
  <c r="T352" i="2"/>
  <c r="X322" i="1"/>
  <c r="X334" i="1" s="1"/>
  <c r="W334" i="1"/>
  <c r="W341" i="3"/>
  <c r="T353" i="3"/>
  <c r="T361" i="3"/>
  <c r="W361" i="3" s="1"/>
  <c r="T363" i="3"/>
  <c r="W363" i="3" s="1"/>
  <c r="T365" i="3"/>
  <c r="W365" i="3" s="1"/>
  <c r="T367" i="3"/>
  <c r="W367" i="3" s="1"/>
  <c r="T369" i="3"/>
  <c r="W369" i="3" s="1"/>
  <c r="S360" i="3"/>
  <c r="V360" i="3" s="1"/>
  <c r="S362" i="3"/>
  <c r="V362" i="3" s="1"/>
  <c r="S364" i="3"/>
  <c r="V364" i="3" s="1"/>
  <c r="S366" i="3"/>
  <c r="V366" i="3" s="1"/>
  <c r="S368" i="3"/>
  <c r="V368" i="3" s="1"/>
  <c r="S370" i="3"/>
  <c r="V370" i="3" s="1"/>
  <c r="U374" i="3"/>
  <c r="T359" i="3"/>
  <c r="T360" i="3"/>
  <c r="W360" i="3" s="1"/>
  <c r="X360" i="3" s="1"/>
  <c r="T364" i="3"/>
  <c r="W364" i="3" s="1"/>
  <c r="T368" i="3"/>
  <c r="W368" i="3" s="1"/>
  <c r="S361" i="3"/>
  <c r="V361" i="3" s="1"/>
  <c r="S365" i="3"/>
  <c r="V365" i="3" s="1"/>
  <c r="S369" i="3"/>
  <c r="V369" i="3" s="1"/>
  <c r="T366" i="3"/>
  <c r="W366" i="3" s="1"/>
  <c r="S363" i="3"/>
  <c r="V363" i="3" s="1"/>
  <c r="S367" i="3"/>
  <c r="V367" i="3" s="1"/>
  <c r="Y356" i="3"/>
  <c r="S359" i="3"/>
  <c r="T370" i="3"/>
  <c r="W370" i="3" s="1"/>
  <c r="T362" i="3"/>
  <c r="W362" i="3" s="1"/>
  <c r="AC613" i="3"/>
  <c r="AC615" i="3"/>
  <c r="AC616" i="3"/>
  <c r="X343" i="1"/>
  <c r="S360" i="2"/>
  <c r="V360" i="2" s="1"/>
  <c r="S362" i="2"/>
  <c r="V362" i="2" s="1"/>
  <c r="S364" i="2"/>
  <c r="V364" i="2" s="1"/>
  <c r="S366" i="2"/>
  <c r="V366" i="2" s="1"/>
  <c r="S368" i="2"/>
  <c r="V368" i="2" s="1"/>
  <c r="T360" i="2"/>
  <c r="W360" i="2" s="1"/>
  <c r="T362" i="2"/>
  <c r="W362" i="2" s="1"/>
  <c r="X362" i="2" s="1"/>
  <c r="T364" i="2"/>
  <c r="W364" i="2" s="1"/>
  <c r="X364" i="2" s="1"/>
  <c r="T366" i="2"/>
  <c r="W366" i="2" s="1"/>
  <c r="X366" i="2" s="1"/>
  <c r="T368" i="2"/>
  <c r="W368" i="2" s="1"/>
  <c r="S358" i="2"/>
  <c r="T361" i="2"/>
  <c r="W361" i="2" s="1"/>
  <c r="T365" i="2"/>
  <c r="W365" i="2" s="1"/>
  <c r="T369" i="2"/>
  <c r="W369" i="2" s="1"/>
  <c r="T358" i="2"/>
  <c r="S361" i="2"/>
  <c r="V361" i="2" s="1"/>
  <c r="S365" i="2"/>
  <c r="V365" i="2" s="1"/>
  <c r="S369" i="2"/>
  <c r="V369" i="2" s="1"/>
  <c r="S359" i="2"/>
  <c r="V359" i="2" s="1"/>
  <c r="S367" i="2"/>
  <c r="V367" i="2" s="1"/>
  <c r="T363" i="2"/>
  <c r="W363" i="2" s="1"/>
  <c r="X363" i="2" s="1"/>
  <c r="S363" i="2"/>
  <c r="V363" i="2" s="1"/>
  <c r="U373" i="2"/>
  <c r="T367" i="2"/>
  <c r="W367" i="2" s="1"/>
  <c r="X367" i="2" s="1"/>
  <c r="T359" i="2"/>
  <c r="W359" i="2" s="1"/>
  <c r="X359" i="2" s="1"/>
  <c r="T360" i="1"/>
  <c r="W360" i="1" s="1"/>
  <c r="T362" i="1"/>
  <c r="W362" i="1" s="1"/>
  <c r="T364" i="1"/>
  <c r="W364" i="1" s="1"/>
  <c r="X364" i="1" s="1"/>
  <c r="T366" i="1"/>
  <c r="W366" i="1" s="1"/>
  <c r="T368" i="1"/>
  <c r="W368" i="1" s="1"/>
  <c r="U373" i="1"/>
  <c r="S359" i="1"/>
  <c r="V359" i="1" s="1"/>
  <c r="S361" i="1"/>
  <c r="V361" i="1" s="1"/>
  <c r="S363" i="1"/>
  <c r="V363" i="1" s="1"/>
  <c r="S365" i="1"/>
  <c r="V365" i="1" s="1"/>
  <c r="S367" i="1"/>
  <c r="V367" i="1" s="1"/>
  <c r="S369" i="1"/>
  <c r="V369" i="1" s="1"/>
  <c r="S360" i="1"/>
  <c r="V360" i="1" s="1"/>
  <c r="S364" i="1"/>
  <c r="V364" i="1" s="1"/>
  <c r="S368" i="1"/>
  <c r="V368" i="1" s="1"/>
  <c r="T361" i="1"/>
  <c r="W361" i="1" s="1"/>
  <c r="X361" i="1" s="1"/>
  <c r="T365" i="1"/>
  <c r="W365" i="1" s="1"/>
  <c r="X365" i="1" s="1"/>
  <c r="T369" i="1"/>
  <c r="W369" i="1" s="1"/>
  <c r="S358" i="1"/>
  <c r="S366" i="1"/>
  <c r="V366" i="1" s="1"/>
  <c r="T358" i="1"/>
  <c r="S362" i="1"/>
  <c r="V362" i="1" s="1"/>
  <c r="T367" i="1"/>
  <c r="W367" i="1" s="1"/>
  <c r="X367" i="1" s="1"/>
  <c r="T363" i="1"/>
  <c r="W363" i="1" s="1"/>
  <c r="X363" i="1" s="1"/>
  <c r="T359" i="1"/>
  <c r="W359" i="1" s="1"/>
  <c r="S352" i="1"/>
  <c r="V340" i="1"/>
  <c r="V352" i="1" s="1"/>
  <c r="X347" i="1"/>
  <c r="X343" i="2"/>
  <c r="X342" i="2"/>
  <c r="X323" i="3"/>
  <c r="X335" i="3" s="1"/>
  <c r="W335" i="3"/>
  <c r="AC614" i="3"/>
  <c r="R334" i="2"/>
  <c r="V341" i="3"/>
  <c r="V353" i="3" s="1"/>
  <c r="S353" i="3"/>
  <c r="Y317" i="1"/>
  <c r="X301" i="1"/>
  <c r="AC614" i="1"/>
  <c r="X366" i="3" l="1"/>
  <c r="X368" i="3"/>
  <c r="X365" i="3"/>
  <c r="X367" i="3"/>
  <c r="V359" i="3"/>
  <c r="V371" i="3" s="1"/>
  <c r="S371" i="3"/>
  <c r="Y336" i="3"/>
  <c r="X364" i="3"/>
  <c r="X341" i="3"/>
  <c r="X353" i="3" s="1"/>
  <c r="W353" i="3"/>
  <c r="Y213" i="3"/>
  <c r="X369" i="1"/>
  <c r="T377" i="1"/>
  <c r="W377" i="1" s="1"/>
  <c r="X377" i="1" s="1"/>
  <c r="T379" i="1"/>
  <c r="W379" i="1" s="1"/>
  <c r="T381" i="1"/>
  <c r="W381" i="1" s="1"/>
  <c r="X381" i="1" s="1"/>
  <c r="T383" i="1"/>
  <c r="W383" i="1" s="1"/>
  <c r="T385" i="1"/>
  <c r="W385" i="1" s="1"/>
  <c r="T387" i="1"/>
  <c r="W387" i="1" s="1"/>
  <c r="X387" i="1" s="1"/>
  <c r="T376" i="1"/>
  <c r="S376" i="1"/>
  <c r="S378" i="1"/>
  <c r="V378" i="1" s="1"/>
  <c r="S380" i="1"/>
  <c r="V380" i="1" s="1"/>
  <c r="S382" i="1"/>
  <c r="V382" i="1" s="1"/>
  <c r="S384" i="1"/>
  <c r="V384" i="1" s="1"/>
  <c r="S386" i="1"/>
  <c r="V386" i="1" s="1"/>
  <c r="T380" i="1"/>
  <c r="W380" i="1" s="1"/>
  <c r="X380" i="1" s="1"/>
  <c r="T384" i="1"/>
  <c r="W384" i="1" s="1"/>
  <c r="X384" i="1" s="1"/>
  <c r="S377" i="1"/>
  <c r="V377" i="1" s="1"/>
  <c r="S381" i="1"/>
  <c r="V381" i="1" s="1"/>
  <c r="S385" i="1"/>
  <c r="V385" i="1" s="1"/>
  <c r="T378" i="1"/>
  <c r="W378" i="1" s="1"/>
  <c r="X378" i="1" s="1"/>
  <c r="T386" i="1"/>
  <c r="W386" i="1" s="1"/>
  <c r="T382" i="1"/>
  <c r="W382" i="1" s="1"/>
  <c r="S383" i="1"/>
  <c r="V383" i="1" s="1"/>
  <c r="S379" i="1"/>
  <c r="V379" i="1" s="1"/>
  <c r="U391" i="1"/>
  <c r="S387" i="1"/>
  <c r="V387" i="1" s="1"/>
  <c r="X362" i="1"/>
  <c r="T376" i="2"/>
  <c r="S376" i="2"/>
  <c r="T377" i="2"/>
  <c r="W377" i="2" s="1"/>
  <c r="T379" i="2"/>
  <c r="W379" i="2" s="1"/>
  <c r="T381" i="2"/>
  <c r="W381" i="2" s="1"/>
  <c r="X381" i="2" s="1"/>
  <c r="T383" i="2"/>
  <c r="W383" i="2" s="1"/>
  <c r="T385" i="2"/>
  <c r="W385" i="2" s="1"/>
  <c r="T387" i="2"/>
  <c r="W387" i="2" s="1"/>
  <c r="X387" i="2" s="1"/>
  <c r="U391" i="2"/>
  <c r="S378" i="2"/>
  <c r="V378" i="2" s="1"/>
  <c r="S380" i="2"/>
  <c r="V380" i="2" s="1"/>
  <c r="S382" i="2"/>
  <c r="V382" i="2" s="1"/>
  <c r="S384" i="2"/>
  <c r="V384" i="2" s="1"/>
  <c r="S386" i="2"/>
  <c r="V386" i="2" s="1"/>
  <c r="T380" i="2"/>
  <c r="W380" i="2" s="1"/>
  <c r="X380" i="2" s="1"/>
  <c r="T384" i="2"/>
  <c r="W384" i="2" s="1"/>
  <c r="S377" i="2"/>
  <c r="V377" i="2" s="1"/>
  <c r="S381" i="2"/>
  <c r="V381" i="2" s="1"/>
  <c r="S385" i="2"/>
  <c r="V385" i="2" s="1"/>
  <c r="T382" i="2"/>
  <c r="W382" i="2" s="1"/>
  <c r="X382" i="2" s="1"/>
  <c r="S379" i="2"/>
  <c r="V379" i="2" s="1"/>
  <c r="S387" i="2"/>
  <c r="V387" i="2" s="1"/>
  <c r="T378" i="2"/>
  <c r="W378" i="2" s="1"/>
  <c r="X378" i="2" s="1"/>
  <c r="T386" i="2"/>
  <c r="W386" i="2" s="1"/>
  <c r="X386" i="2" s="1"/>
  <c r="S383" i="2"/>
  <c r="V383" i="2" s="1"/>
  <c r="W358" i="2"/>
  <c r="T370" i="2"/>
  <c r="V358" i="2"/>
  <c r="V370" i="2" s="1"/>
  <c r="S370" i="2"/>
  <c r="R370" i="2" s="1"/>
  <c r="X362" i="3"/>
  <c r="X363" i="3"/>
  <c r="AD611" i="2"/>
  <c r="AD613" i="2"/>
  <c r="AD615" i="2"/>
  <c r="AD614" i="2" s="1"/>
  <c r="R352" i="2"/>
  <c r="AE610" i="2"/>
  <c r="U316" i="2"/>
  <c r="X366" i="1"/>
  <c r="X365" i="2"/>
  <c r="T379" i="3"/>
  <c r="W379" i="3" s="1"/>
  <c r="T381" i="3"/>
  <c r="W381" i="3" s="1"/>
  <c r="T383" i="3"/>
  <c r="W383" i="3" s="1"/>
  <c r="T385" i="3"/>
  <c r="W385" i="3" s="1"/>
  <c r="T387" i="3"/>
  <c r="W387" i="3" s="1"/>
  <c r="S378" i="3"/>
  <c r="V378" i="3" s="1"/>
  <c r="S380" i="3"/>
  <c r="V380" i="3" s="1"/>
  <c r="S382" i="3"/>
  <c r="V382" i="3" s="1"/>
  <c r="S384" i="3"/>
  <c r="V384" i="3" s="1"/>
  <c r="S386" i="3"/>
  <c r="V386" i="3" s="1"/>
  <c r="S388" i="3"/>
  <c r="V388" i="3" s="1"/>
  <c r="U392" i="3"/>
  <c r="S381" i="3"/>
  <c r="V381" i="3" s="1"/>
  <c r="S385" i="3"/>
  <c r="V385" i="3" s="1"/>
  <c r="T377" i="3"/>
  <c r="T378" i="3"/>
  <c r="W378" i="3" s="1"/>
  <c r="T382" i="3"/>
  <c r="W382" i="3" s="1"/>
  <c r="T386" i="3"/>
  <c r="W386" i="3" s="1"/>
  <c r="X386" i="3" s="1"/>
  <c r="S377" i="3"/>
  <c r="T380" i="3"/>
  <c r="W380" i="3" s="1"/>
  <c r="T388" i="3"/>
  <c r="W388" i="3" s="1"/>
  <c r="S383" i="3"/>
  <c r="V383" i="3" s="1"/>
  <c r="S387" i="3"/>
  <c r="V387" i="3" s="1"/>
  <c r="T384" i="3"/>
  <c r="W384" i="3" s="1"/>
  <c r="S379" i="3"/>
  <c r="V379" i="3" s="1"/>
  <c r="Y374" i="3"/>
  <c r="Y335" i="2"/>
  <c r="X319" i="2"/>
  <c r="W352" i="1"/>
  <c r="X340" i="1"/>
  <c r="X352" i="1" s="1"/>
  <c r="V358" i="1"/>
  <c r="V370" i="1" s="1"/>
  <c r="S370" i="1"/>
  <c r="X361" i="2"/>
  <c r="X340" i="2"/>
  <c r="X352" i="2" s="1"/>
  <c r="W352" i="2"/>
  <c r="AD613" i="1"/>
  <c r="AD611" i="1"/>
  <c r="AE614" i="1"/>
  <c r="AE610" i="1"/>
  <c r="U316" i="1"/>
  <c r="X359" i="1"/>
  <c r="T370" i="1"/>
  <c r="W358" i="1"/>
  <c r="X368" i="1"/>
  <c r="X360" i="1"/>
  <c r="X369" i="2"/>
  <c r="X368" i="2"/>
  <c r="X360" i="2"/>
  <c r="X370" i="3"/>
  <c r="W359" i="3"/>
  <c r="T371" i="3"/>
  <c r="X369" i="3"/>
  <c r="X361" i="3"/>
  <c r="Y335" i="1"/>
  <c r="X319" i="1"/>
  <c r="AE611" i="3"/>
  <c r="AE614" i="3" s="1"/>
  <c r="U317" i="3"/>
  <c r="AD613" i="3"/>
  <c r="AD615" i="3"/>
  <c r="AD616" i="3"/>
  <c r="X388" i="3" l="1"/>
  <c r="X380" i="3"/>
  <c r="X381" i="3"/>
  <c r="X387" i="3"/>
  <c r="X382" i="3"/>
  <c r="Y353" i="1"/>
  <c r="X337" i="1"/>
  <c r="W376" i="1"/>
  <c r="T388" i="1"/>
  <c r="Y354" i="3"/>
  <c r="X379" i="3"/>
  <c r="AE613" i="2"/>
  <c r="AE611" i="2"/>
  <c r="AE615" i="2"/>
  <c r="AE614" i="2" s="1"/>
  <c r="X379" i="2"/>
  <c r="X358" i="1"/>
  <c r="X370" i="1" s="1"/>
  <c r="W370" i="1"/>
  <c r="T397" i="3"/>
  <c r="W397" i="3" s="1"/>
  <c r="T399" i="3"/>
  <c r="W399" i="3" s="1"/>
  <c r="T401" i="3"/>
  <c r="W401" i="3" s="1"/>
  <c r="T403" i="3"/>
  <c r="W403" i="3" s="1"/>
  <c r="T405" i="3"/>
  <c r="W405" i="3" s="1"/>
  <c r="S396" i="3"/>
  <c r="V396" i="3" s="1"/>
  <c r="S398" i="3"/>
  <c r="V398" i="3" s="1"/>
  <c r="S400" i="3"/>
  <c r="V400" i="3" s="1"/>
  <c r="S402" i="3"/>
  <c r="V402" i="3" s="1"/>
  <c r="S404" i="3"/>
  <c r="V404" i="3" s="1"/>
  <c r="S406" i="3"/>
  <c r="V406" i="3" s="1"/>
  <c r="U410" i="3"/>
  <c r="S395" i="3"/>
  <c r="T398" i="3"/>
  <c r="W398" i="3" s="1"/>
  <c r="T402" i="3"/>
  <c r="W402" i="3" s="1"/>
  <c r="T406" i="3"/>
  <c r="W406" i="3" s="1"/>
  <c r="S399" i="3"/>
  <c r="V399" i="3" s="1"/>
  <c r="S403" i="3"/>
  <c r="V403" i="3" s="1"/>
  <c r="T395" i="3"/>
  <c r="T400" i="3"/>
  <c r="W400" i="3" s="1"/>
  <c r="X400" i="3" s="1"/>
  <c r="S397" i="3"/>
  <c r="V397" i="3" s="1"/>
  <c r="S405" i="3"/>
  <c r="V405" i="3" s="1"/>
  <c r="T396" i="3"/>
  <c r="W396" i="3" s="1"/>
  <c r="S401" i="3"/>
  <c r="V401" i="3" s="1"/>
  <c r="T404" i="3"/>
  <c r="W404" i="3" s="1"/>
  <c r="Y392" i="3"/>
  <c r="X385" i="2"/>
  <c r="AF610" i="1"/>
  <c r="U334" i="1"/>
  <c r="X359" i="3"/>
  <c r="X371" i="3" s="1"/>
  <c r="W371" i="3"/>
  <c r="AF610" i="2"/>
  <c r="U334" i="2"/>
  <c r="V377" i="3"/>
  <c r="V389" i="3" s="1"/>
  <c r="S389" i="3"/>
  <c r="W377" i="3"/>
  <c r="T389" i="3"/>
  <c r="X383" i="3"/>
  <c r="X358" i="2"/>
  <c r="X370" i="2" s="1"/>
  <c r="W370" i="2"/>
  <c r="X383" i="2"/>
  <c r="V376" i="2"/>
  <c r="V388" i="2" s="1"/>
  <c r="S388" i="2"/>
  <c r="T396" i="1"/>
  <c r="W396" i="1" s="1"/>
  <c r="T398" i="1"/>
  <c r="W398" i="1" s="1"/>
  <c r="T400" i="1"/>
  <c r="W400" i="1" s="1"/>
  <c r="T402" i="1"/>
  <c r="W402" i="1" s="1"/>
  <c r="T404" i="1"/>
  <c r="W404" i="1" s="1"/>
  <c r="X404" i="1" s="1"/>
  <c r="U409" i="1"/>
  <c r="S395" i="1"/>
  <c r="V395" i="1" s="1"/>
  <c r="S397" i="1"/>
  <c r="V397" i="1" s="1"/>
  <c r="S399" i="1"/>
  <c r="V399" i="1" s="1"/>
  <c r="S401" i="1"/>
  <c r="V401" i="1" s="1"/>
  <c r="S403" i="1"/>
  <c r="V403" i="1" s="1"/>
  <c r="S405" i="1"/>
  <c r="V405" i="1" s="1"/>
  <c r="S396" i="1"/>
  <c r="V396" i="1" s="1"/>
  <c r="S400" i="1"/>
  <c r="V400" i="1" s="1"/>
  <c r="S404" i="1"/>
  <c r="V404" i="1" s="1"/>
  <c r="T397" i="1"/>
  <c r="W397" i="1" s="1"/>
  <c r="X397" i="1" s="1"/>
  <c r="T401" i="1"/>
  <c r="W401" i="1" s="1"/>
  <c r="T405" i="1"/>
  <c r="W405" i="1" s="1"/>
  <c r="X405" i="1" s="1"/>
  <c r="S394" i="1"/>
  <c r="S402" i="1"/>
  <c r="V402" i="1" s="1"/>
  <c r="T394" i="1"/>
  <c r="S398" i="1"/>
  <c r="V398" i="1" s="1"/>
  <c r="T403" i="1"/>
  <c r="W403" i="1" s="1"/>
  <c r="X403" i="1" s="1"/>
  <c r="T399" i="1"/>
  <c r="W399" i="1" s="1"/>
  <c r="T395" i="1"/>
  <c r="W395" i="1" s="1"/>
  <c r="X395" i="1" s="1"/>
  <c r="X386" i="1"/>
  <c r="V376" i="1"/>
  <c r="V388" i="1" s="1"/>
  <c r="S388" i="1"/>
  <c r="X383" i="1"/>
  <c r="U335" i="3"/>
  <c r="AF611" i="3"/>
  <c r="Y353" i="2"/>
  <c r="X337" i="2"/>
  <c r="S395" i="2"/>
  <c r="V395" i="2" s="1"/>
  <c r="S397" i="2"/>
  <c r="V397" i="2" s="1"/>
  <c r="S399" i="2"/>
  <c r="V399" i="2" s="1"/>
  <c r="S401" i="2"/>
  <c r="V401" i="2" s="1"/>
  <c r="S403" i="2"/>
  <c r="V403" i="2" s="1"/>
  <c r="S405" i="2"/>
  <c r="V405" i="2" s="1"/>
  <c r="T394" i="2"/>
  <c r="S394" i="2"/>
  <c r="T395" i="2"/>
  <c r="W395" i="2" s="1"/>
  <c r="X395" i="2" s="1"/>
  <c r="T397" i="2"/>
  <c r="W397" i="2" s="1"/>
  <c r="X397" i="2" s="1"/>
  <c r="T399" i="2"/>
  <c r="W399" i="2" s="1"/>
  <c r="X399" i="2" s="1"/>
  <c r="T401" i="2"/>
  <c r="W401" i="2" s="1"/>
  <c r="X401" i="2" s="1"/>
  <c r="T403" i="2"/>
  <c r="W403" i="2" s="1"/>
  <c r="X403" i="2" s="1"/>
  <c r="T405" i="2"/>
  <c r="W405" i="2" s="1"/>
  <c r="X405" i="2" s="1"/>
  <c r="U409" i="2"/>
  <c r="S396" i="2"/>
  <c r="V396" i="2" s="1"/>
  <c r="S400" i="2"/>
  <c r="V400" i="2" s="1"/>
  <c r="S404" i="2"/>
  <c r="V404" i="2" s="1"/>
  <c r="T398" i="2"/>
  <c r="W398" i="2" s="1"/>
  <c r="T402" i="2"/>
  <c r="W402" i="2" s="1"/>
  <c r="X402" i="2" s="1"/>
  <c r="T396" i="2"/>
  <c r="W396" i="2" s="1"/>
  <c r="X396" i="2" s="1"/>
  <c r="T404" i="2"/>
  <c r="W404" i="2" s="1"/>
  <c r="X404" i="2" s="1"/>
  <c r="S402" i="2"/>
  <c r="V402" i="2" s="1"/>
  <c r="T400" i="2"/>
  <c r="W400" i="2" s="1"/>
  <c r="S398" i="2"/>
  <c r="V398" i="2" s="1"/>
  <c r="W376" i="2"/>
  <c r="T388" i="2"/>
  <c r="AE615" i="3"/>
  <c r="AE613" i="3"/>
  <c r="AF614" i="3"/>
  <c r="AE616" i="3"/>
  <c r="X384" i="2"/>
  <c r="X379" i="1"/>
  <c r="AE611" i="1"/>
  <c r="AE613" i="1"/>
  <c r="AF614" i="1"/>
  <c r="X384" i="3"/>
  <c r="X378" i="3"/>
  <c r="X385" i="3"/>
  <c r="X377" i="2"/>
  <c r="X382" i="1"/>
  <c r="X385" i="1"/>
  <c r="X230" i="3"/>
  <c r="X396" i="3" l="1"/>
  <c r="X402" i="3"/>
  <c r="X406" i="3"/>
  <c r="X403" i="3"/>
  <c r="T413" i="1"/>
  <c r="W413" i="1" s="1"/>
  <c r="X413" i="1" s="1"/>
  <c r="T415" i="1"/>
  <c r="W415" i="1" s="1"/>
  <c r="T417" i="1"/>
  <c r="W417" i="1" s="1"/>
  <c r="X417" i="1" s="1"/>
  <c r="T419" i="1"/>
  <c r="W419" i="1" s="1"/>
  <c r="T421" i="1"/>
  <c r="W421" i="1" s="1"/>
  <c r="T423" i="1"/>
  <c r="W423" i="1" s="1"/>
  <c r="X423" i="1" s="1"/>
  <c r="T412" i="1"/>
  <c r="S412" i="1"/>
  <c r="S414" i="1"/>
  <c r="V414" i="1" s="1"/>
  <c r="S416" i="1"/>
  <c r="V416" i="1" s="1"/>
  <c r="S418" i="1"/>
  <c r="V418" i="1" s="1"/>
  <c r="S420" i="1"/>
  <c r="V420" i="1" s="1"/>
  <c r="S422" i="1"/>
  <c r="V422" i="1" s="1"/>
  <c r="T416" i="1"/>
  <c r="W416" i="1" s="1"/>
  <c r="X416" i="1" s="1"/>
  <c r="T420" i="1"/>
  <c r="W420" i="1" s="1"/>
  <c r="X420" i="1" s="1"/>
  <c r="S413" i="1"/>
  <c r="V413" i="1" s="1"/>
  <c r="S417" i="1"/>
  <c r="V417" i="1" s="1"/>
  <c r="S421" i="1"/>
  <c r="V421" i="1" s="1"/>
  <c r="T414" i="1"/>
  <c r="W414" i="1" s="1"/>
  <c r="X414" i="1" s="1"/>
  <c r="T422" i="1"/>
  <c r="W422" i="1" s="1"/>
  <c r="T418" i="1"/>
  <c r="W418" i="1" s="1"/>
  <c r="S419" i="1"/>
  <c r="V419" i="1" s="1"/>
  <c r="S415" i="1"/>
  <c r="V415" i="1" s="1"/>
  <c r="U427" i="1"/>
  <c r="S423" i="1"/>
  <c r="V423" i="1" s="1"/>
  <c r="X398" i="1"/>
  <c r="X400" i="2"/>
  <c r="V394" i="2"/>
  <c r="V406" i="2" s="1"/>
  <c r="S406" i="2"/>
  <c r="T406" i="1"/>
  <c r="W394" i="1"/>
  <c r="X401" i="1"/>
  <c r="X396" i="1"/>
  <c r="X377" i="3"/>
  <c r="X389" i="3" s="1"/>
  <c r="W389" i="3"/>
  <c r="AF611" i="2"/>
  <c r="AF613" i="2"/>
  <c r="AF615" i="2"/>
  <c r="AF614" i="2" s="1"/>
  <c r="AF613" i="1"/>
  <c r="AF611" i="1"/>
  <c r="T415" i="3"/>
  <c r="W415" i="3" s="1"/>
  <c r="T417" i="3"/>
  <c r="W417" i="3" s="1"/>
  <c r="T419" i="3"/>
  <c r="W419" i="3" s="1"/>
  <c r="T421" i="3"/>
  <c r="W421" i="3" s="1"/>
  <c r="S414" i="3"/>
  <c r="V414" i="3" s="1"/>
  <c r="S416" i="3"/>
  <c r="V416" i="3" s="1"/>
  <c r="S418" i="3"/>
  <c r="V418" i="3" s="1"/>
  <c r="S420" i="3"/>
  <c r="V420" i="3" s="1"/>
  <c r="S422" i="3"/>
  <c r="V422" i="3" s="1"/>
  <c r="S424" i="3"/>
  <c r="V424" i="3" s="1"/>
  <c r="S415" i="3"/>
  <c r="V415" i="3" s="1"/>
  <c r="S419" i="3"/>
  <c r="V419" i="3" s="1"/>
  <c r="T422" i="3"/>
  <c r="W422" i="3" s="1"/>
  <c r="X422" i="3" s="1"/>
  <c r="S413" i="3"/>
  <c r="T416" i="3"/>
  <c r="W416" i="3" s="1"/>
  <c r="T420" i="3"/>
  <c r="W420" i="3" s="1"/>
  <c r="X420" i="3" s="1"/>
  <c r="T423" i="3"/>
  <c r="W423" i="3" s="1"/>
  <c r="T424" i="3"/>
  <c r="W424" i="3" s="1"/>
  <c r="X424" i="3" s="1"/>
  <c r="T414" i="3"/>
  <c r="W414" i="3" s="1"/>
  <c r="S423" i="3"/>
  <c r="V423" i="3" s="1"/>
  <c r="T413" i="3"/>
  <c r="S417" i="3"/>
  <c r="V417" i="3" s="1"/>
  <c r="U428" i="3"/>
  <c r="Y410" i="3"/>
  <c r="T418" i="3"/>
  <c r="W418" i="3" s="1"/>
  <c r="S421" i="3"/>
  <c r="V421" i="3" s="1"/>
  <c r="AG611" i="3"/>
  <c r="AG614" i="3" s="1"/>
  <c r="U353" i="3"/>
  <c r="AG610" i="1"/>
  <c r="U352" i="1"/>
  <c r="Y231" i="3"/>
  <c r="X398" i="2"/>
  <c r="T414" i="2"/>
  <c r="W414" i="2" s="1"/>
  <c r="X414" i="2" s="1"/>
  <c r="T416" i="2"/>
  <c r="W416" i="2" s="1"/>
  <c r="T418" i="2"/>
  <c r="W418" i="2" s="1"/>
  <c r="X418" i="2" s="1"/>
  <c r="T420" i="2"/>
  <c r="W420" i="2" s="1"/>
  <c r="T422" i="2"/>
  <c r="W422" i="2" s="1"/>
  <c r="S413" i="2"/>
  <c r="V413" i="2" s="1"/>
  <c r="S415" i="2"/>
  <c r="V415" i="2" s="1"/>
  <c r="S417" i="2"/>
  <c r="V417" i="2" s="1"/>
  <c r="S419" i="2"/>
  <c r="V419" i="2" s="1"/>
  <c r="S421" i="2"/>
  <c r="V421" i="2" s="1"/>
  <c r="S423" i="2"/>
  <c r="V423" i="2" s="1"/>
  <c r="S416" i="2"/>
  <c r="V416" i="2" s="1"/>
  <c r="S420" i="2"/>
  <c r="V420" i="2" s="1"/>
  <c r="T412" i="2"/>
  <c r="T413" i="2"/>
  <c r="W413" i="2" s="1"/>
  <c r="X413" i="2" s="1"/>
  <c r="T417" i="2"/>
  <c r="W417" i="2" s="1"/>
  <c r="X417" i="2" s="1"/>
  <c r="T421" i="2"/>
  <c r="W421" i="2" s="1"/>
  <c r="X421" i="2" s="1"/>
  <c r="S418" i="2"/>
  <c r="V418" i="2" s="1"/>
  <c r="T419" i="2"/>
  <c r="W419" i="2" s="1"/>
  <c r="S414" i="2"/>
  <c r="V414" i="2" s="1"/>
  <c r="S422" i="2"/>
  <c r="V422" i="2" s="1"/>
  <c r="T415" i="2"/>
  <c r="W415" i="2" s="1"/>
  <c r="S412" i="2"/>
  <c r="U427" i="2"/>
  <c r="T423" i="2"/>
  <c r="W423" i="2" s="1"/>
  <c r="X423" i="2" s="1"/>
  <c r="W394" i="2"/>
  <c r="T406" i="2"/>
  <c r="AG610" i="2"/>
  <c r="U352" i="2"/>
  <c r="X399" i="1"/>
  <c r="X402" i="1"/>
  <c r="R388" i="2"/>
  <c r="Y371" i="2"/>
  <c r="X355" i="2"/>
  <c r="W395" i="3"/>
  <c r="T407" i="3"/>
  <c r="X401" i="3"/>
  <c r="Y371" i="1"/>
  <c r="X355" i="1"/>
  <c r="X376" i="2"/>
  <c r="X388" i="2" s="1"/>
  <c r="W388" i="2"/>
  <c r="AF615" i="3"/>
  <c r="AF613" i="3"/>
  <c r="AF616" i="3"/>
  <c r="V394" i="1"/>
  <c r="V406" i="1" s="1"/>
  <c r="S406" i="1"/>
  <c r="X400" i="1"/>
  <c r="Y372" i="3"/>
  <c r="X398" i="3"/>
  <c r="X399" i="3"/>
  <c r="W388" i="1"/>
  <c r="X376" i="1"/>
  <c r="X388" i="1" s="1"/>
  <c r="X404" i="3"/>
  <c r="V395" i="3"/>
  <c r="V407" i="3" s="1"/>
  <c r="S407" i="3"/>
  <c r="X405" i="3"/>
  <c r="X397" i="3"/>
  <c r="X418" i="3" l="1"/>
  <c r="X423" i="3"/>
  <c r="X415" i="3"/>
  <c r="AH611" i="3"/>
  <c r="AH614" i="3" s="1"/>
  <c r="U371" i="3"/>
  <c r="AH610" i="2"/>
  <c r="U370" i="2"/>
  <c r="X422" i="2"/>
  <c r="V413" i="3"/>
  <c r="V425" i="3" s="1"/>
  <c r="S425" i="3"/>
  <c r="X417" i="3"/>
  <c r="X394" i="1"/>
  <c r="X406" i="1" s="1"/>
  <c r="W406" i="1"/>
  <c r="W412" i="1"/>
  <c r="T424" i="1"/>
  <c r="Y389" i="2"/>
  <c r="X373" i="2"/>
  <c r="AG613" i="2"/>
  <c r="AG611" i="2"/>
  <c r="AG615" i="2"/>
  <c r="AG614" i="2" s="1"/>
  <c r="S432" i="2"/>
  <c r="V432" i="2" s="1"/>
  <c r="S434" i="2"/>
  <c r="V434" i="2" s="1"/>
  <c r="S436" i="2"/>
  <c r="V436" i="2" s="1"/>
  <c r="S438" i="2"/>
  <c r="V438" i="2" s="1"/>
  <c r="S440" i="2"/>
  <c r="V440" i="2" s="1"/>
  <c r="T432" i="2"/>
  <c r="W432" i="2" s="1"/>
  <c r="X432" i="2" s="1"/>
  <c r="T434" i="2"/>
  <c r="W434" i="2" s="1"/>
  <c r="T436" i="2"/>
  <c r="W436" i="2" s="1"/>
  <c r="X436" i="2" s="1"/>
  <c r="T438" i="2"/>
  <c r="W438" i="2" s="1"/>
  <c r="X438" i="2" s="1"/>
  <c r="T440" i="2"/>
  <c r="W440" i="2" s="1"/>
  <c r="X440" i="2" s="1"/>
  <c r="T431" i="2"/>
  <c r="W431" i="2" s="1"/>
  <c r="T435" i="2"/>
  <c r="W435" i="2" s="1"/>
  <c r="T439" i="2"/>
  <c r="W439" i="2" s="1"/>
  <c r="U445" i="2"/>
  <c r="S431" i="2"/>
  <c r="V431" i="2" s="1"/>
  <c r="S435" i="2"/>
  <c r="V435" i="2" s="1"/>
  <c r="S439" i="2"/>
  <c r="V439" i="2" s="1"/>
  <c r="T430" i="2"/>
  <c r="T437" i="2"/>
  <c r="W437" i="2" s="1"/>
  <c r="S437" i="2"/>
  <c r="V437" i="2" s="1"/>
  <c r="S430" i="2"/>
  <c r="T433" i="2"/>
  <c r="W433" i="2" s="1"/>
  <c r="X433" i="2" s="1"/>
  <c r="T441" i="2"/>
  <c r="W441" i="2" s="1"/>
  <c r="S433" i="2"/>
  <c r="V433" i="2" s="1"/>
  <c r="S441" i="2"/>
  <c r="V441" i="2" s="1"/>
  <c r="X420" i="2"/>
  <c r="AG613" i="1"/>
  <c r="AG611" i="1"/>
  <c r="AH614" i="1"/>
  <c r="W413" i="3"/>
  <c r="T425" i="3"/>
  <c r="Y390" i="3"/>
  <c r="X415" i="1"/>
  <c r="X395" i="3"/>
  <c r="X407" i="3" s="1"/>
  <c r="W407" i="3"/>
  <c r="V412" i="2"/>
  <c r="V424" i="2" s="1"/>
  <c r="S424" i="2"/>
  <c r="R424" i="2" s="1"/>
  <c r="X419" i="2"/>
  <c r="X421" i="3"/>
  <c r="AG614" i="1"/>
  <c r="R406" i="2"/>
  <c r="X418" i="1"/>
  <c r="X421" i="1"/>
  <c r="Y389" i="1"/>
  <c r="X373" i="1"/>
  <c r="AH610" i="1"/>
  <c r="U370" i="1"/>
  <c r="X394" i="2"/>
  <c r="X406" i="2" s="1"/>
  <c r="W406" i="2"/>
  <c r="X415" i="2"/>
  <c r="W412" i="2"/>
  <c r="T424" i="2"/>
  <c r="X416" i="2"/>
  <c r="X248" i="3"/>
  <c r="AG613" i="3"/>
  <c r="AG615" i="3"/>
  <c r="AG616" i="3"/>
  <c r="T431" i="3"/>
  <c r="S431" i="3"/>
  <c r="T432" i="3"/>
  <c r="W432" i="3" s="1"/>
  <c r="T434" i="3"/>
  <c r="W434" i="3" s="1"/>
  <c r="T436" i="3"/>
  <c r="W436" i="3" s="1"/>
  <c r="T438" i="3"/>
  <c r="W438" i="3" s="1"/>
  <c r="T440" i="3"/>
  <c r="W440" i="3" s="1"/>
  <c r="T442" i="3"/>
  <c r="W442" i="3" s="1"/>
  <c r="S433" i="3"/>
  <c r="V433" i="3" s="1"/>
  <c r="S435" i="3"/>
  <c r="V435" i="3" s="1"/>
  <c r="S437" i="3"/>
  <c r="V437" i="3" s="1"/>
  <c r="S439" i="3"/>
  <c r="V439" i="3" s="1"/>
  <c r="S441" i="3"/>
  <c r="V441" i="3" s="1"/>
  <c r="T435" i="3"/>
  <c r="W435" i="3" s="1"/>
  <c r="X435" i="3" s="1"/>
  <c r="T439" i="3"/>
  <c r="W439" i="3" s="1"/>
  <c r="S432" i="3"/>
  <c r="V432" i="3" s="1"/>
  <c r="S436" i="3"/>
  <c r="V436" i="3" s="1"/>
  <c r="S440" i="3"/>
  <c r="V440" i="3" s="1"/>
  <c r="T433" i="3"/>
  <c r="W433" i="3" s="1"/>
  <c r="T441" i="3"/>
  <c r="W441" i="3" s="1"/>
  <c r="Y428" i="3"/>
  <c r="S438" i="3"/>
  <c r="V438" i="3" s="1"/>
  <c r="U446" i="3"/>
  <c r="S442" i="3"/>
  <c r="V442" i="3" s="1"/>
  <c r="S434" i="3"/>
  <c r="V434" i="3" s="1"/>
  <c r="T437" i="3"/>
  <c r="W437" i="3" s="1"/>
  <c r="X414" i="3"/>
  <c r="X416" i="3"/>
  <c r="X419" i="3"/>
  <c r="T432" i="1"/>
  <c r="W432" i="1" s="1"/>
  <c r="T434" i="1"/>
  <c r="W434" i="1" s="1"/>
  <c r="T436" i="1"/>
  <c r="W436" i="1" s="1"/>
  <c r="X436" i="1" s="1"/>
  <c r="T438" i="1"/>
  <c r="W438" i="1" s="1"/>
  <c r="T440" i="1"/>
  <c r="W440" i="1" s="1"/>
  <c r="X440" i="1" s="1"/>
  <c r="U445" i="1"/>
  <c r="S431" i="1"/>
  <c r="V431" i="1" s="1"/>
  <c r="S433" i="1"/>
  <c r="V433" i="1" s="1"/>
  <c r="S435" i="1"/>
  <c r="V435" i="1" s="1"/>
  <c r="S437" i="1"/>
  <c r="V437" i="1" s="1"/>
  <c r="S439" i="1"/>
  <c r="V439" i="1" s="1"/>
  <c r="S441" i="1"/>
  <c r="V441" i="1" s="1"/>
  <c r="S432" i="1"/>
  <c r="V432" i="1" s="1"/>
  <c r="S436" i="1"/>
  <c r="V436" i="1" s="1"/>
  <c r="S440" i="1"/>
  <c r="V440" i="1" s="1"/>
  <c r="T433" i="1"/>
  <c r="W433" i="1" s="1"/>
  <c r="X433" i="1" s="1"/>
  <c r="T437" i="1"/>
  <c r="W437" i="1" s="1"/>
  <c r="X437" i="1" s="1"/>
  <c r="T441" i="1"/>
  <c r="W441" i="1" s="1"/>
  <c r="S430" i="1"/>
  <c r="S438" i="1"/>
  <c r="V438" i="1" s="1"/>
  <c r="T430" i="1"/>
  <c r="S434" i="1"/>
  <c r="V434" i="1" s="1"/>
  <c r="T439" i="1"/>
  <c r="W439" i="1" s="1"/>
  <c r="X439" i="1" s="1"/>
  <c r="T435" i="1"/>
  <c r="W435" i="1" s="1"/>
  <c r="T431" i="1"/>
  <c r="W431" i="1" s="1"/>
  <c r="X431" i="1" s="1"/>
  <c r="X422" i="1"/>
  <c r="V412" i="1"/>
  <c r="V424" i="1" s="1"/>
  <c r="S424" i="1"/>
  <c r="X419" i="1"/>
  <c r="X437" i="3" l="1"/>
  <c r="T442" i="1"/>
  <c r="W430" i="1"/>
  <c r="X432" i="1"/>
  <c r="X438" i="3"/>
  <c r="V431" i="3"/>
  <c r="V443" i="3" s="1"/>
  <c r="S443" i="3"/>
  <c r="X413" i="3"/>
  <c r="X425" i="3" s="1"/>
  <c r="W425" i="3"/>
  <c r="W430" i="2"/>
  <c r="T442" i="2"/>
  <c r="T448" i="2"/>
  <c r="S448" i="2"/>
  <c r="T449" i="2"/>
  <c r="W449" i="2" s="1"/>
  <c r="T451" i="2"/>
  <c r="W451" i="2" s="1"/>
  <c r="X451" i="2" s="1"/>
  <c r="T453" i="2"/>
  <c r="W453" i="2" s="1"/>
  <c r="T455" i="2"/>
  <c r="W455" i="2" s="1"/>
  <c r="T457" i="2"/>
  <c r="W457" i="2" s="1"/>
  <c r="T459" i="2"/>
  <c r="W459" i="2" s="1"/>
  <c r="U463" i="2"/>
  <c r="S450" i="2"/>
  <c r="V450" i="2" s="1"/>
  <c r="S452" i="2"/>
  <c r="V452" i="2" s="1"/>
  <c r="S454" i="2"/>
  <c r="V454" i="2" s="1"/>
  <c r="S456" i="2"/>
  <c r="V456" i="2" s="1"/>
  <c r="S458" i="2"/>
  <c r="V458" i="2" s="1"/>
  <c r="T450" i="2"/>
  <c r="W450" i="2" s="1"/>
  <c r="X450" i="2" s="1"/>
  <c r="T454" i="2"/>
  <c r="W454" i="2" s="1"/>
  <c r="X454" i="2" s="1"/>
  <c r="T458" i="2"/>
  <c r="W458" i="2" s="1"/>
  <c r="S451" i="2"/>
  <c r="V451" i="2" s="1"/>
  <c r="S455" i="2"/>
  <c r="V455" i="2" s="1"/>
  <c r="S459" i="2"/>
  <c r="V459" i="2" s="1"/>
  <c r="S453" i="2"/>
  <c r="V453" i="2" s="1"/>
  <c r="T452" i="2"/>
  <c r="W452" i="2" s="1"/>
  <c r="S449" i="2"/>
  <c r="V449" i="2" s="1"/>
  <c r="S457" i="2"/>
  <c r="V457" i="2" s="1"/>
  <c r="T456" i="2"/>
  <c r="W456" i="2" s="1"/>
  <c r="X456" i="2" s="1"/>
  <c r="X435" i="1"/>
  <c r="X438" i="1"/>
  <c r="X436" i="3"/>
  <c r="W431" i="3"/>
  <c r="T443" i="3"/>
  <c r="Y407" i="2"/>
  <c r="X391" i="2"/>
  <c r="AI610" i="1"/>
  <c r="U388" i="1"/>
  <c r="V430" i="2"/>
  <c r="V442" i="2" s="1"/>
  <c r="S442" i="2"/>
  <c r="R442" i="2" s="1"/>
  <c r="X439" i="2"/>
  <c r="W424" i="1"/>
  <c r="X412" i="1"/>
  <c r="X424" i="1" s="1"/>
  <c r="AH611" i="2"/>
  <c r="AH613" i="2"/>
  <c r="AH615" i="2"/>
  <c r="AH614" i="2" s="1"/>
  <c r="V430" i="1"/>
  <c r="V442" i="1" s="1"/>
  <c r="S442" i="1"/>
  <c r="X441" i="3"/>
  <c r="X442" i="3"/>
  <c r="X434" i="3"/>
  <c r="X412" i="2"/>
  <c r="X424" i="2" s="1"/>
  <c r="W424" i="2"/>
  <c r="AI611" i="3"/>
  <c r="AI614" i="3" s="1"/>
  <c r="U389" i="3"/>
  <c r="X435" i="2"/>
  <c r="X441" i="1"/>
  <c r="T449" i="1"/>
  <c r="W449" i="1" s="1"/>
  <c r="X449" i="1" s="1"/>
  <c r="T451" i="1"/>
  <c r="W451" i="1" s="1"/>
  <c r="X451" i="1" s="1"/>
  <c r="T453" i="1"/>
  <c r="W453" i="1" s="1"/>
  <c r="T455" i="1"/>
  <c r="W455" i="1" s="1"/>
  <c r="T457" i="1"/>
  <c r="W457" i="1" s="1"/>
  <c r="T459" i="1"/>
  <c r="W459" i="1" s="1"/>
  <c r="X459" i="1" s="1"/>
  <c r="T448" i="1"/>
  <c r="S448" i="1"/>
  <c r="S450" i="1"/>
  <c r="V450" i="1" s="1"/>
  <c r="S452" i="1"/>
  <c r="V452" i="1" s="1"/>
  <c r="S454" i="1"/>
  <c r="V454" i="1" s="1"/>
  <c r="S456" i="1"/>
  <c r="V456" i="1" s="1"/>
  <c r="S458" i="1"/>
  <c r="V458" i="1" s="1"/>
  <c r="T452" i="1"/>
  <c r="W452" i="1" s="1"/>
  <c r="X452" i="1" s="1"/>
  <c r="T456" i="1"/>
  <c r="W456" i="1" s="1"/>
  <c r="S449" i="1"/>
  <c r="V449" i="1" s="1"/>
  <c r="S453" i="1"/>
  <c r="V453" i="1" s="1"/>
  <c r="S457" i="1"/>
  <c r="V457" i="1" s="1"/>
  <c r="T450" i="1"/>
  <c r="W450" i="1" s="1"/>
  <c r="T458" i="1"/>
  <c r="W458" i="1" s="1"/>
  <c r="T454" i="1"/>
  <c r="W454" i="1" s="1"/>
  <c r="X454" i="1" s="1"/>
  <c r="S455" i="1"/>
  <c r="V455" i="1" s="1"/>
  <c r="S451" i="1"/>
  <c r="V451" i="1" s="1"/>
  <c r="U463" i="1"/>
  <c r="S459" i="1"/>
  <c r="V459" i="1" s="1"/>
  <c r="X434" i="1"/>
  <c r="T449" i="3"/>
  <c r="S449" i="3"/>
  <c r="T450" i="3"/>
  <c r="W450" i="3" s="1"/>
  <c r="T452" i="3"/>
  <c r="W452" i="3" s="1"/>
  <c r="T454" i="3"/>
  <c r="W454" i="3" s="1"/>
  <c r="T456" i="3"/>
  <c r="W456" i="3" s="1"/>
  <c r="T458" i="3"/>
  <c r="W458" i="3" s="1"/>
  <c r="T460" i="3"/>
  <c r="W460" i="3" s="1"/>
  <c r="S451" i="3"/>
  <c r="V451" i="3" s="1"/>
  <c r="S453" i="3"/>
  <c r="V453" i="3" s="1"/>
  <c r="S455" i="3"/>
  <c r="V455" i="3" s="1"/>
  <c r="S457" i="3"/>
  <c r="V457" i="3" s="1"/>
  <c r="S459" i="3"/>
  <c r="V459" i="3" s="1"/>
  <c r="S452" i="3"/>
  <c r="V452" i="3" s="1"/>
  <c r="S456" i="3"/>
  <c r="V456" i="3" s="1"/>
  <c r="S460" i="3"/>
  <c r="V460" i="3" s="1"/>
  <c r="U464" i="3"/>
  <c r="T453" i="3"/>
  <c r="W453" i="3" s="1"/>
  <c r="X453" i="3" s="1"/>
  <c r="T457" i="3"/>
  <c r="W457" i="3" s="1"/>
  <c r="T455" i="3"/>
  <c r="W455" i="3" s="1"/>
  <c r="S450" i="3"/>
  <c r="V450" i="3" s="1"/>
  <c r="S458" i="3"/>
  <c r="V458" i="3" s="1"/>
  <c r="T451" i="3"/>
  <c r="W451" i="3" s="1"/>
  <c r="S454" i="3"/>
  <c r="V454" i="3" s="1"/>
  <c r="Y446" i="3"/>
  <c r="T459" i="3"/>
  <c r="W459" i="3" s="1"/>
  <c r="X433" i="3"/>
  <c r="X439" i="3"/>
  <c r="X440" i="3"/>
  <c r="X432" i="3"/>
  <c r="Y249" i="3"/>
  <c r="AH611" i="1"/>
  <c r="AH613" i="1"/>
  <c r="AI614" i="1"/>
  <c r="Y408" i="3"/>
  <c r="X441" i="2"/>
  <c r="X437" i="2"/>
  <c r="X431" i="2"/>
  <c r="X434" i="2"/>
  <c r="AI610" i="2"/>
  <c r="U388" i="2"/>
  <c r="X391" i="1"/>
  <c r="Y407" i="1"/>
  <c r="AH613" i="3"/>
  <c r="AH615" i="3"/>
  <c r="AH616" i="3"/>
  <c r="X459" i="3" l="1"/>
  <c r="X451" i="3"/>
  <c r="X455" i="3"/>
  <c r="X458" i="3"/>
  <c r="X450" i="3"/>
  <c r="X452" i="3"/>
  <c r="AJ611" i="3"/>
  <c r="U407" i="3"/>
  <c r="X460" i="3"/>
  <c r="Y425" i="2"/>
  <c r="X409" i="2"/>
  <c r="X459" i="2"/>
  <c r="X430" i="1"/>
  <c r="X442" i="1" s="1"/>
  <c r="W442" i="1"/>
  <c r="X266" i="3"/>
  <c r="X457" i="3"/>
  <c r="X457" i="1"/>
  <c r="Y425" i="1"/>
  <c r="X409" i="1"/>
  <c r="AJ610" i="2"/>
  <c r="U406" i="2"/>
  <c r="X457" i="2"/>
  <c r="X449" i="2"/>
  <c r="W442" i="2"/>
  <c r="X430" i="2"/>
  <c r="X442" i="2" s="1"/>
  <c r="AI613" i="2"/>
  <c r="AI611" i="2"/>
  <c r="AI615" i="2"/>
  <c r="AI614" i="2" s="1"/>
  <c r="X456" i="3"/>
  <c r="V449" i="3"/>
  <c r="V461" i="3" s="1"/>
  <c r="S461" i="3"/>
  <c r="T468" i="1"/>
  <c r="W468" i="1" s="1"/>
  <c r="T470" i="1"/>
  <c r="W470" i="1" s="1"/>
  <c r="T472" i="1"/>
  <c r="W472" i="1" s="1"/>
  <c r="X472" i="1" s="1"/>
  <c r="T474" i="1"/>
  <c r="W474" i="1" s="1"/>
  <c r="T476" i="1"/>
  <c r="W476" i="1" s="1"/>
  <c r="U481" i="1"/>
  <c r="S467" i="1"/>
  <c r="V467" i="1" s="1"/>
  <c r="S469" i="1"/>
  <c r="V469" i="1" s="1"/>
  <c r="S471" i="1"/>
  <c r="V471" i="1" s="1"/>
  <c r="S473" i="1"/>
  <c r="V473" i="1" s="1"/>
  <c r="S475" i="1"/>
  <c r="V475" i="1" s="1"/>
  <c r="S477" i="1"/>
  <c r="V477" i="1" s="1"/>
  <c r="S468" i="1"/>
  <c r="V468" i="1" s="1"/>
  <c r="S472" i="1"/>
  <c r="V472" i="1" s="1"/>
  <c r="S476" i="1"/>
  <c r="V476" i="1" s="1"/>
  <c r="T469" i="1"/>
  <c r="W469" i="1" s="1"/>
  <c r="X469" i="1" s="1"/>
  <c r="T473" i="1"/>
  <c r="W473" i="1" s="1"/>
  <c r="T477" i="1"/>
  <c r="W477" i="1" s="1"/>
  <c r="X477" i="1" s="1"/>
  <c r="S466" i="1"/>
  <c r="S474" i="1"/>
  <c r="V474" i="1" s="1"/>
  <c r="T466" i="1"/>
  <c r="S470" i="1"/>
  <c r="V470" i="1" s="1"/>
  <c r="T475" i="1"/>
  <c r="W475" i="1" s="1"/>
  <c r="X475" i="1" s="1"/>
  <c r="T471" i="1"/>
  <c r="W471" i="1" s="1"/>
  <c r="T467" i="1"/>
  <c r="W467" i="1" s="1"/>
  <c r="X458" i="1"/>
  <c r="V448" i="1"/>
  <c r="V460" i="1" s="1"/>
  <c r="S460" i="1"/>
  <c r="X455" i="1"/>
  <c r="AI615" i="3"/>
  <c r="AI613" i="3"/>
  <c r="AI616" i="3"/>
  <c r="X452" i="2"/>
  <c r="X455" i="2"/>
  <c r="V448" i="2"/>
  <c r="V460" i="2" s="1"/>
  <c r="S460" i="2"/>
  <c r="AJ610" i="1"/>
  <c r="U406" i="1"/>
  <c r="T467" i="3"/>
  <c r="S467" i="3"/>
  <c r="T468" i="3"/>
  <c r="W468" i="3" s="1"/>
  <c r="T470" i="3"/>
  <c r="W470" i="3" s="1"/>
  <c r="T472" i="3"/>
  <c r="W472" i="3" s="1"/>
  <c r="T474" i="3"/>
  <c r="W474" i="3" s="1"/>
  <c r="T476" i="3"/>
  <c r="W476" i="3" s="1"/>
  <c r="T478" i="3"/>
  <c r="W478" i="3" s="1"/>
  <c r="S469" i="3"/>
  <c r="V469" i="3" s="1"/>
  <c r="S471" i="3"/>
  <c r="V471" i="3" s="1"/>
  <c r="S473" i="3"/>
  <c r="V473" i="3" s="1"/>
  <c r="S475" i="3"/>
  <c r="V475" i="3" s="1"/>
  <c r="S477" i="3"/>
  <c r="V477" i="3" s="1"/>
  <c r="T469" i="3"/>
  <c r="W469" i="3" s="1"/>
  <c r="T473" i="3"/>
  <c r="W473" i="3" s="1"/>
  <c r="X473" i="3" s="1"/>
  <c r="T477" i="3"/>
  <c r="W477" i="3" s="1"/>
  <c r="S470" i="3"/>
  <c r="V470" i="3" s="1"/>
  <c r="S474" i="3"/>
  <c r="V474" i="3" s="1"/>
  <c r="S478" i="3"/>
  <c r="V478" i="3" s="1"/>
  <c r="U482" i="3"/>
  <c r="T475" i="3"/>
  <c r="W475" i="3" s="1"/>
  <c r="S472" i="3"/>
  <c r="V472" i="3" s="1"/>
  <c r="T471" i="3"/>
  <c r="W471" i="3" s="1"/>
  <c r="S476" i="3"/>
  <c r="V476" i="3" s="1"/>
  <c r="S468" i="3"/>
  <c r="V468" i="3" s="1"/>
  <c r="Y464" i="3"/>
  <c r="X454" i="3"/>
  <c r="W449" i="3"/>
  <c r="T461" i="3"/>
  <c r="X450" i="1"/>
  <c r="X456" i="1"/>
  <c r="W448" i="1"/>
  <c r="T460" i="1"/>
  <c r="X453" i="1"/>
  <c r="AI613" i="1"/>
  <c r="AI611" i="1"/>
  <c r="AJ614" i="1"/>
  <c r="X431" i="3"/>
  <c r="X443" i="3" s="1"/>
  <c r="W443" i="3"/>
  <c r="X458" i="2"/>
  <c r="S467" i="2"/>
  <c r="V467" i="2" s="1"/>
  <c r="S469" i="2"/>
  <c r="V469" i="2" s="1"/>
  <c r="S471" i="2"/>
  <c r="V471" i="2" s="1"/>
  <c r="S473" i="2"/>
  <c r="V473" i="2" s="1"/>
  <c r="S475" i="2"/>
  <c r="V475" i="2" s="1"/>
  <c r="S477" i="2"/>
  <c r="V477" i="2" s="1"/>
  <c r="T466" i="2"/>
  <c r="S466" i="2"/>
  <c r="T467" i="2"/>
  <c r="W467" i="2" s="1"/>
  <c r="X467" i="2" s="1"/>
  <c r="T469" i="2"/>
  <c r="W469" i="2" s="1"/>
  <c r="X469" i="2" s="1"/>
  <c r="T471" i="2"/>
  <c r="W471" i="2" s="1"/>
  <c r="X471" i="2" s="1"/>
  <c r="T473" i="2"/>
  <c r="W473" i="2" s="1"/>
  <c r="X473" i="2" s="1"/>
  <c r="T475" i="2"/>
  <c r="W475" i="2" s="1"/>
  <c r="X475" i="2" s="1"/>
  <c r="T477" i="2"/>
  <c r="W477" i="2" s="1"/>
  <c r="X477" i="2" s="1"/>
  <c r="U481" i="2"/>
  <c r="S470" i="2"/>
  <c r="V470" i="2" s="1"/>
  <c r="S474" i="2"/>
  <c r="V474" i="2" s="1"/>
  <c r="T468" i="2"/>
  <c r="W468" i="2" s="1"/>
  <c r="T472" i="2"/>
  <c r="W472" i="2" s="1"/>
  <c r="T476" i="2"/>
  <c r="W476" i="2" s="1"/>
  <c r="X476" i="2" s="1"/>
  <c r="S468" i="2"/>
  <c r="V468" i="2" s="1"/>
  <c r="S476" i="2"/>
  <c r="V476" i="2" s="1"/>
  <c r="T474" i="2"/>
  <c r="W474" i="2" s="1"/>
  <c r="S472" i="2"/>
  <c r="V472" i="2" s="1"/>
  <c r="T470" i="2"/>
  <c r="W470" i="2" s="1"/>
  <c r="X453" i="2"/>
  <c r="W448" i="2"/>
  <c r="T460" i="2"/>
  <c r="Y426" i="3"/>
  <c r="X477" i="3" l="1"/>
  <c r="X469" i="3"/>
  <c r="X478" i="3"/>
  <c r="X470" i="3"/>
  <c r="X471" i="3"/>
  <c r="V466" i="2"/>
  <c r="V478" i="2" s="1"/>
  <c r="S478" i="2"/>
  <c r="V466" i="1"/>
  <c r="V478" i="1" s="1"/>
  <c r="S478" i="1"/>
  <c r="AK610" i="1"/>
  <c r="U424" i="1"/>
  <c r="Y267" i="3"/>
  <c r="AJ615" i="3"/>
  <c r="AJ613" i="3"/>
  <c r="AJ616" i="3"/>
  <c r="X448" i="2"/>
  <c r="X460" i="2" s="1"/>
  <c r="W460" i="2"/>
  <c r="X474" i="2"/>
  <c r="X472" i="2"/>
  <c r="T486" i="2"/>
  <c r="W486" i="2" s="1"/>
  <c r="X486" i="2" s="1"/>
  <c r="T488" i="2"/>
  <c r="W488" i="2" s="1"/>
  <c r="T490" i="2"/>
  <c r="W490" i="2" s="1"/>
  <c r="X490" i="2" s="1"/>
  <c r="T492" i="2"/>
  <c r="W492" i="2" s="1"/>
  <c r="T494" i="2"/>
  <c r="W494" i="2" s="1"/>
  <c r="S485" i="2"/>
  <c r="V485" i="2" s="1"/>
  <c r="S487" i="2"/>
  <c r="V487" i="2" s="1"/>
  <c r="S489" i="2"/>
  <c r="V489" i="2" s="1"/>
  <c r="S491" i="2"/>
  <c r="V491" i="2" s="1"/>
  <c r="S493" i="2"/>
  <c r="V493" i="2" s="1"/>
  <c r="S495" i="2"/>
  <c r="V495" i="2" s="1"/>
  <c r="S486" i="2"/>
  <c r="V486" i="2" s="1"/>
  <c r="S490" i="2"/>
  <c r="V490" i="2" s="1"/>
  <c r="S494" i="2"/>
  <c r="V494" i="2" s="1"/>
  <c r="U499" i="2"/>
  <c r="S484" i="2"/>
  <c r="T487" i="2"/>
  <c r="W487" i="2" s="1"/>
  <c r="T491" i="2"/>
  <c r="W491" i="2" s="1"/>
  <c r="X491" i="2" s="1"/>
  <c r="T495" i="2"/>
  <c r="W495" i="2" s="1"/>
  <c r="X495" i="2" s="1"/>
  <c r="T485" i="2"/>
  <c r="W485" i="2" s="1"/>
  <c r="T493" i="2"/>
  <c r="W493" i="2" s="1"/>
  <c r="T484" i="2"/>
  <c r="S488" i="2"/>
  <c r="V488" i="2" s="1"/>
  <c r="T489" i="2"/>
  <c r="W489" i="2" s="1"/>
  <c r="X489" i="2" s="1"/>
  <c r="S492" i="2"/>
  <c r="V492" i="2" s="1"/>
  <c r="W466" i="2"/>
  <c r="T478" i="2"/>
  <c r="X476" i="3"/>
  <c r="X468" i="3"/>
  <c r="AJ611" i="1"/>
  <c r="AJ613" i="1"/>
  <c r="T485" i="1"/>
  <c r="W485" i="1" s="1"/>
  <c r="X485" i="1" s="1"/>
  <c r="T487" i="1"/>
  <c r="W487" i="1" s="1"/>
  <c r="T489" i="1"/>
  <c r="W489" i="1" s="1"/>
  <c r="X489" i="1" s="1"/>
  <c r="T491" i="1"/>
  <c r="W491" i="1" s="1"/>
  <c r="T493" i="1"/>
  <c r="W493" i="1" s="1"/>
  <c r="T495" i="1"/>
  <c r="W495" i="1" s="1"/>
  <c r="X495" i="1" s="1"/>
  <c r="T484" i="1"/>
  <c r="S484" i="1"/>
  <c r="S486" i="1"/>
  <c r="V486" i="1" s="1"/>
  <c r="S488" i="1"/>
  <c r="V488" i="1" s="1"/>
  <c r="S490" i="1"/>
  <c r="V490" i="1" s="1"/>
  <c r="S492" i="1"/>
  <c r="V492" i="1" s="1"/>
  <c r="S494" i="1"/>
  <c r="V494" i="1" s="1"/>
  <c r="T488" i="1"/>
  <c r="W488" i="1" s="1"/>
  <c r="X488" i="1" s="1"/>
  <c r="T492" i="1"/>
  <c r="W492" i="1" s="1"/>
  <c r="X492" i="1" s="1"/>
  <c r="S485" i="1"/>
  <c r="V485" i="1" s="1"/>
  <c r="S489" i="1"/>
  <c r="V489" i="1" s="1"/>
  <c r="S493" i="1"/>
  <c r="V493" i="1" s="1"/>
  <c r="T486" i="1"/>
  <c r="W486" i="1" s="1"/>
  <c r="X486" i="1" s="1"/>
  <c r="T494" i="1"/>
  <c r="W494" i="1" s="1"/>
  <c r="T490" i="1"/>
  <c r="W490" i="1" s="1"/>
  <c r="S491" i="1"/>
  <c r="V491" i="1" s="1"/>
  <c r="S487" i="1"/>
  <c r="V487" i="1" s="1"/>
  <c r="U499" i="1"/>
  <c r="S495" i="1"/>
  <c r="V495" i="1" s="1"/>
  <c r="X470" i="1"/>
  <c r="Y443" i="2"/>
  <c r="X427" i="2"/>
  <c r="U424" i="2"/>
  <c r="AK610" i="2"/>
  <c r="X468" i="2"/>
  <c r="Y444" i="3"/>
  <c r="X474" i="3"/>
  <c r="V467" i="3"/>
  <c r="V479" i="3" s="1"/>
  <c r="S479" i="3"/>
  <c r="R460" i="2"/>
  <c r="X467" i="1"/>
  <c r="T478" i="1"/>
  <c r="W466" i="1"/>
  <c r="X473" i="1"/>
  <c r="X476" i="1"/>
  <c r="X468" i="1"/>
  <c r="AJ611" i="2"/>
  <c r="AJ613" i="2"/>
  <c r="AJ615" i="2"/>
  <c r="AJ614" i="2" s="1"/>
  <c r="X427" i="1"/>
  <c r="Y443" i="1"/>
  <c r="W460" i="1"/>
  <c r="X448" i="1"/>
  <c r="X460" i="1" s="1"/>
  <c r="X449" i="3"/>
  <c r="X461" i="3" s="1"/>
  <c r="W461" i="3"/>
  <c r="T485" i="3"/>
  <c r="S485" i="3"/>
  <c r="T486" i="3"/>
  <c r="W486" i="3" s="1"/>
  <c r="T488" i="3"/>
  <c r="W488" i="3" s="1"/>
  <c r="T490" i="3"/>
  <c r="W490" i="3" s="1"/>
  <c r="T492" i="3"/>
  <c r="W492" i="3" s="1"/>
  <c r="T494" i="3"/>
  <c r="W494" i="3" s="1"/>
  <c r="T496" i="3"/>
  <c r="W496" i="3" s="1"/>
  <c r="S487" i="3"/>
  <c r="V487" i="3" s="1"/>
  <c r="S489" i="3"/>
  <c r="V489" i="3" s="1"/>
  <c r="S491" i="3"/>
  <c r="V491" i="3" s="1"/>
  <c r="S493" i="3"/>
  <c r="V493" i="3" s="1"/>
  <c r="S495" i="3"/>
  <c r="V495" i="3" s="1"/>
  <c r="S486" i="3"/>
  <c r="V486" i="3" s="1"/>
  <c r="S490" i="3"/>
  <c r="V490" i="3" s="1"/>
  <c r="S494" i="3"/>
  <c r="V494" i="3" s="1"/>
  <c r="T487" i="3"/>
  <c r="W487" i="3" s="1"/>
  <c r="X487" i="3" s="1"/>
  <c r="T491" i="3"/>
  <c r="W491" i="3" s="1"/>
  <c r="T495" i="3"/>
  <c r="W495" i="3" s="1"/>
  <c r="T489" i="3"/>
  <c r="W489" i="3" s="1"/>
  <c r="S492" i="3"/>
  <c r="V492" i="3" s="1"/>
  <c r="Y482" i="3"/>
  <c r="T493" i="3"/>
  <c r="W493" i="3" s="1"/>
  <c r="S488" i="3"/>
  <c r="V488" i="3" s="1"/>
  <c r="U500" i="3"/>
  <c r="S496" i="3"/>
  <c r="V496" i="3" s="1"/>
  <c r="AK611" i="3"/>
  <c r="U425" i="3"/>
  <c r="X470" i="2"/>
  <c r="X475" i="3"/>
  <c r="X472" i="3"/>
  <c r="W467" i="3"/>
  <c r="T479" i="3"/>
  <c r="AJ614" i="3"/>
  <c r="X471" i="1"/>
  <c r="X474" i="1"/>
  <c r="X493" i="3" l="1"/>
  <c r="X495" i="3"/>
  <c r="X494" i="3"/>
  <c r="X486" i="3"/>
  <c r="X492" i="3"/>
  <c r="AK613" i="3"/>
  <c r="AK615" i="3"/>
  <c r="AK616" i="3"/>
  <c r="Y462" i="3"/>
  <c r="AL610" i="2"/>
  <c r="U442" i="2"/>
  <c r="W484" i="1"/>
  <c r="T496" i="1"/>
  <c r="S504" i="2"/>
  <c r="V504" i="2" s="1"/>
  <c r="S506" i="2"/>
  <c r="V506" i="2" s="1"/>
  <c r="S508" i="2"/>
  <c r="V508" i="2" s="1"/>
  <c r="S510" i="2"/>
  <c r="V510" i="2" s="1"/>
  <c r="S512" i="2"/>
  <c r="V512" i="2" s="1"/>
  <c r="T504" i="2"/>
  <c r="W504" i="2" s="1"/>
  <c r="X504" i="2" s="1"/>
  <c r="T506" i="2"/>
  <c r="W506" i="2" s="1"/>
  <c r="X506" i="2" s="1"/>
  <c r="T508" i="2"/>
  <c r="W508" i="2" s="1"/>
  <c r="X508" i="2" s="1"/>
  <c r="T510" i="2"/>
  <c r="W510" i="2" s="1"/>
  <c r="T512" i="2"/>
  <c r="W512" i="2" s="1"/>
  <c r="X512" i="2" s="1"/>
  <c r="S502" i="2"/>
  <c r="T505" i="2"/>
  <c r="W505" i="2" s="1"/>
  <c r="T509" i="2"/>
  <c r="W509" i="2" s="1"/>
  <c r="T513" i="2"/>
  <c r="W513" i="2" s="1"/>
  <c r="T502" i="2"/>
  <c r="S505" i="2"/>
  <c r="V505" i="2" s="1"/>
  <c r="S509" i="2"/>
  <c r="V509" i="2" s="1"/>
  <c r="S513" i="2"/>
  <c r="V513" i="2" s="1"/>
  <c r="S507" i="2"/>
  <c r="V507" i="2" s="1"/>
  <c r="U517" i="2"/>
  <c r="T503" i="2"/>
  <c r="W503" i="2" s="1"/>
  <c r="T511" i="2"/>
  <c r="W511" i="2" s="1"/>
  <c r="S503" i="2"/>
  <c r="V503" i="2" s="1"/>
  <c r="S511" i="2"/>
  <c r="V511" i="2" s="1"/>
  <c r="T507" i="2"/>
  <c r="W507" i="2" s="1"/>
  <c r="AK614" i="3"/>
  <c r="X284" i="3"/>
  <c r="X491" i="3"/>
  <c r="V485" i="3"/>
  <c r="V497" i="3" s="1"/>
  <c r="S497" i="3"/>
  <c r="Y461" i="1"/>
  <c r="X445" i="1"/>
  <c r="AK613" i="2"/>
  <c r="AK611" i="2"/>
  <c r="AK615" i="2"/>
  <c r="AK614" i="2" s="1"/>
  <c r="X487" i="1"/>
  <c r="X466" i="2"/>
  <c r="X478" i="2" s="1"/>
  <c r="W478" i="2"/>
  <c r="W484" i="2"/>
  <c r="T496" i="2"/>
  <c r="X488" i="2"/>
  <c r="R478" i="2"/>
  <c r="T503" i="3"/>
  <c r="S503" i="3"/>
  <c r="T504" i="3"/>
  <c r="W504" i="3" s="1"/>
  <c r="T506" i="3"/>
  <c r="W506" i="3" s="1"/>
  <c r="T508" i="3"/>
  <c r="W508" i="3" s="1"/>
  <c r="T510" i="3"/>
  <c r="W510" i="3" s="1"/>
  <c r="T512" i="3"/>
  <c r="W512" i="3" s="1"/>
  <c r="T514" i="3"/>
  <c r="W514" i="3" s="1"/>
  <c r="S505" i="3"/>
  <c r="V505" i="3" s="1"/>
  <c r="S507" i="3"/>
  <c r="V507" i="3" s="1"/>
  <c r="S509" i="3"/>
  <c r="V509" i="3" s="1"/>
  <c r="S511" i="3"/>
  <c r="V511" i="3" s="1"/>
  <c r="S513" i="3"/>
  <c r="V513" i="3" s="1"/>
  <c r="T507" i="3"/>
  <c r="W507" i="3" s="1"/>
  <c r="T511" i="3"/>
  <c r="W511" i="3" s="1"/>
  <c r="S504" i="3"/>
  <c r="V504" i="3" s="1"/>
  <c r="S508" i="3"/>
  <c r="V508" i="3" s="1"/>
  <c r="S512" i="3"/>
  <c r="V512" i="3" s="1"/>
  <c r="T509" i="3"/>
  <c r="W509" i="3" s="1"/>
  <c r="X509" i="3" s="1"/>
  <c r="Y500" i="3"/>
  <c r="S506" i="3"/>
  <c r="V506" i="3" s="1"/>
  <c r="S514" i="3"/>
  <c r="V514" i="3" s="1"/>
  <c r="S510" i="3"/>
  <c r="V510" i="3" s="1"/>
  <c r="U518" i="3"/>
  <c r="T513" i="3"/>
  <c r="W513" i="3" s="1"/>
  <c r="X513" i="3" s="1"/>
  <c r="T505" i="3"/>
  <c r="W505" i="3" s="1"/>
  <c r="X490" i="3"/>
  <c r="W485" i="3"/>
  <c r="T497" i="3"/>
  <c r="X490" i="1"/>
  <c r="X493" i="1"/>
  <c r="X493" i="2"/>
  <c r="X487" i="2"/>
  <c r="X494" i="2"/>
  <c r="Y461" i="2"/>
  <c r="X445" i="2"/>
  <c r="AK613" i="1"/>
  <c r="AK611" i="1"/>
  <c r="AL614" i="1"/>
  <c r="X467" i="3"/>
  <c r="X479" i="3" s="1"/>
  <c r="W479" i="3"/>
  <c r="X489" i="3"/>
  <c r="X496" i="3"/>
  <c r="X488" i="3"/>
  <c r="AL610" i="1"/>
  <c r="U442" i="1"/>
  <c r="X466" i="1"/>
  <c r="X478" i="1" s="1"/>
  <c r="W478" i="1"/>
  <c r="AL611" i="3"/>
  <c r="AL614" i="3" s="1"/>
  <c r="U443" i="3"/>
  <c r="T504" i="1"/>
  <c r="W504" i="1" s="1"/>
  <c r="T506" i="1"/>
  <c r="W506" i="1" s="1"/>
  <c r="T508" i="1"/>
  <c r="W508" i="1" s="1"/>
  <c r="T510" i="1"/>
  <c r="W510" i="1" s="1"/>
  <c r="T512" i="1"/>
  <c r="W512" i="1" s="1"/>
  <c r="X512" i="1" s="1"/>
  <c r="U517" i="1"/>
  <c r="S503" i="1"/>
  <c r="V503" i="1" s="1"/>
  <c r="S505" i="1"/>
  <c r="V505" i="1" s="1"/>
  <c r="S507" i="1"/>
  <c r="V507" i="1" s="1"/>
  <c r="S509" i="1"/>
  <c r="V509" i="1" s="1"/>
  <c r="S511" i="1"/>
  <c r="V511" i="1" s="1"/>
  <c r="S513" i="1"/>
  <c r="V513" i="1" s="1"/>
  <c r="S504" i="1"/>
  <c r="V504" i="1" s="1"/>
  <c r="S508" i="1"/>
  <c r="V508" i="1" s="1"/>
  <c r="S512" i="1"/>
  <c r="V512" i="1" s="1"/>
  <c r="T505" i="1"/>
  <c r="W505" i="1" s="1"/>
  <c r="X505" i="1" s="1"/>
  <c r="T509" i="1"/>
  <c r="W509" i="1" s="1"/>
  <c r="T513" i="1"/>
  <c r="W513" i="1" s="1"/>
  <c r="X513" i="1" s="1"/>
  <c r="S502" i="1"/>
  <c r="S510" i="1"/>
  <c r="V510" i="1" s="1"/>
  <c r="T502" i="1"/>
  <c r="S506" i="1"/>
  <c r="V506" i="1" s="1"/>
  <c r="T511" i="1"/>
  <c r="W511" i="1" s="1"/>
  <c r="X511" i="1" s="1"/>
  <c r="T507" i="1"/>
  <c r="W507" i="1" s="1"/>
  <c r="T503" i="1"/>
  <c r="W503" i="1" s="1"/>
  <c r="X503" i="1" s="1"/>
  <c r="X494" i="1"/>
  <c r="S496" i="1"/>
  <c r="V484" i="1"/>
  <c r="V496" i="1" s="1"/>
  <c r="X491" i="1"/>
  <c r="AK614" i="1"/>
  <c r="X485" i="2"/>
  <c r="V484" i="2"/>
  <c r="V496" i="2" s="1"/>
  <c r="S496" i="2"/>
  <c r="R496" i="2" s="1"/>
  <c r="X492" i="2"/>
  <c r="X507" i="3" l="1"/>
  <c r="X514" i="3"/>
  <c r="X512" i="3"/>
  <c r="AM610" i="1"/>
  <c r="U460" i="1"/>
  <c r="T520" i="2"/>
  <c r="S520" i="2"/>
  <c r="T521" i="2"/>
  <c r="W521" i="2" s="1"/>
  <c r="T523" i="2"/>
  <c r="W523" i="2" s="1"/>
  <c r="T525" i="2"/>
  <c r="W525" i="2" s="1"/>
  <c r="T527" i="2"/>
  <c r="W527" i="2" s="1"/>
  <c r="T529" i="2"/>
  <c r="W529" i="2" s="1"/>
  <c r="T531" i="2"/>
  <c r="W531" i="2" s="1"/>
  <c r="U535" i="2"/>
  <c r="S522" i="2"/>
  <c r="V522" i="2" s="1"/>
  <c r="S524" i="2"/>
  <c r="V524" i="2" s="1"/>
  <c r="S526" i="2"/>
  <c r="V526" i="2" s="1"/>
  <c r="S528" i="2"/>
  <c r="V528" i="2" s="1"/>
  <c r="S530" i="2"/>
  <c r="V530" i="2" s="1"/>
  <c r="T524" i="2"/>
  <c r="W524" i="2" s="1"/>
  <c r="X524" i="2" s="1"/>
  <c r="T528" i="2"/>
  <c r="W528" i="2" s="1"/>
  <c r="S521" i="2"/>
  <c r="V521" i="2" s="1"/>
  <c r="S525" i="2"/>
  <c r="V525" i="2" s="1"/>
  <c r="S529" i="2"/>
  <c r="V529" i="2" s="1"/>
  <c r="T522" i="2"/>
  <c r="W522" i="2" s="1"/>
  <c r="T530" i="2"/>
  <c r="W530" i="2" s="1"/>
  <c r="S527" i="2"/>
  <c r="V527" i="2" s="1"/>
  <c r="T526" i="2"/>
  <c r="W526" i="2" s="1"/>
  <c r="X526" i="2" s="1"/>
  <c r="S523" i="2"/>
  <c r="V523" i="2" s="1"/>
  <c r="S531" i="2"/>
  <c r="V531" i="2" s="1"/>
  <c r="X505" i="2"/>
  <c r="X509" i="1"/>
  <c r="X463" i="1"/>
  <c r="Y479" i="1"/>
  <c r="AM610" i="2"/>
  <c r="U460" i="2"/>
  <c r="Y285" i="3"/>
  <c r="AM611" i="3"/>
  <c r="U461" i="3"/>
  <c r="X507" i="1"/>
  <c r="X511" i="3"/>
  <c r="T521" i="1"/>
  <c r="W521" i="1" s="1"/>
  <c r="X521" i="1" s="1"/>
  <c r="T523" i="1"/>
  <c r="W523" i="1" s="1"/>
  <c r="T525" i="1"/>
  <c r="W525" i="1" s="1"/>
  <c r="T527" i="1"/>
  <c r="W527" i="1" s="1"/>
  <c r="X527" i="1" s="1"/>
  <c r="T529" i="1"/>
  <c r="W529" i="1" s="1"/>
  <c r="X529" i="1" s="1"/>
  <c r="T531" i="1"/>
  <c r="W531" i="1" s="1"/>
  <c r="X531" i="1" s="1"/>
  <c r="T520" i="1"/>
  <c r="S520" i="1"/>
  <c r="S522" i="1"/>
  <c r="V522" i="1" s="1"/>
  <c r="S524" i="1"/>
  <c r="V524" i="1" s="1"/>
  <c r="S526" i="1"/>
  <c r="V526" i="1" s="1"/>
  <c r="S528" i="1"/>
  <c r="V528" i="1" s="1"/>
  <c r="T524" i="1"/>
  <c r="W524" i="1" s="1"/>
  <c r="X524" i="1" s="1"/>
  <c r="T528" i="1"/>
  <c r="W528" i="1" s="1"/>
  <c r="S530" i="1"/>
  <c r="V530" i="1" s="1"/>
  <c r="S521" i="1"/>
  <c r="V521" i="1" s="1"/>
  <c r="S525" i="1"/>
  <c r="V525" i="1" s="1"/>
  <c r="S529" i="1"/>
  <c r="V529" i="1" s="1"/>
  <c r="S531" i="1"/>
  <c r="V531" i="1" s="1"/>
  <c r="T522" i="1"/>
  <c r="W522" i="1" s="1"/>
  <c r="T530" i="1"/>
  <c r="W530" i="1" s="1"/>
  <c r="X530" i="1" s="1"/>
  <c r="T526" i="1"/>
  <c r="W526" i="1" s="1"/>
  <c r="X526" i="1" s="1"/>
  <c r="S527" i="1"/>
  <c r="V527" i="1" s="1"/>
  <c r="S523" i="1"/>
  <c r="V523" i="1" s="1"/>
  <c r="U535" i="1"/>
  <c r="X506" i="1"/>
  <c r="Y480" i="3"/>
  <c r="X508" i="3"/>
  <c r="W503" i="3"/>
  <c r="T515" i="3"/>
  <c r="X484" i="2"/>
  <c r="X496" i="2" s="1"/>
  <c r="W496" i="2"/>
  <c r="T514" i="1"/>
  <c r="W502" i="1"/>
  <c r="X504" i="1"/>
  <c r="X485" i="3"/>
  <c r="X497" i="3" s="1"/>
  <c r="W497" i="3"/>
  <c r="T521" i="3"/>
  <c r="S521" i="3"/>
  <c r="T522" i="3"/>
  <c r="W522" i="3" s="1"/>
  <c r="T524" i="3"/>
  <c r="W524" i="3" s="1"/>
  <c r="T526" i="3"/>
  <c r="W526" i="3" s="1"/>
  <c r="T528" i="3"/>
  <c r="W528" i="3" s="1"/>
  <c r="T530" i="3"/>
  <c r="W530" i="3" s="1"/>
  <c r="T532" i="3"/>
  <c r="W532" i="3" s="1"/>
  <c r="S523" i="3"/>
  <c r="V523" i="3" s="1"/>
  <c r="S525" i="3"/>
  <c r="V525" i="3" s="1"/>
  <c r="S527" i="3"/>
  <c r="V527" i="3" s="1"/>
  <c r="S529" i="3"/>
  <c r="V529" i="3" s="1"/>
  <c r="S531" i="3"/>
  <c r="V531" i="3" s="1"/>
  <c r="S524" i="3"/>
  <c r="V524" i="3" s="1"/>
  <c r="S528" i="3"/>
  <c r="V528" i="3" s="1"/>
  <c r="S532" i="3"/>
  <c r="V532" i="3" s="1"/>
  <c r="U536" i="3"/>
  <c r="T525" i="3"/>
  <c r="W525" i="3" s="1"/>
  <c r="X525" i="3" s="1"/>
  <c r="T529" i="3"/>
  <c r="W529" i="3" s="1"/>
  <c r="T523" i="3"/>
  <c r="W523" i="3" s="1"/>
  <c r="T531" i="3"/>
  <c r="W531" i="3" s="1"/>
  <c r="X531" i="3" s="1"/>
  <c r="S526" i="3"/>
  <c r="V526" i="3" s="1"/>
  <c r="S530" i="3"/>
  <c r="V530" i="3" s="1"/>
  <c r="Y518" i="3"/>
  <c r="S522" i="3"/>
  <c r="V522" i="3" s="1"/>
  <c r="T527" i="3"/>
  <c r="W527" i="3" s="1"/>
  <c r="X506" i="3"/>
  <c r="W502" i="2"/>
  <c r="T514" i="2"/>
  <c r="V502" i="2"/>
  <c r="V514" i="2" s="1"/>
  <c r="S514" i="2"/>
  <c r="R514" i="2" s="1"/>
  <c r="W496" i="1"/>
  <c r="X484" i="1"/>
  <c r="X496" i="1" s="1"/>
  <c r="X510" i="1"/>
  <c r="X504" i="3"/>
  <c r="Y479" i="2"/>
  <c r="X463" i="2"/>
  <c r="X511" i="2"/>
  <c r="X513" i="2"/>
  <c r="V502" i="1"/>
  <c r="V514" i="1" s="1"/>
  <c r="S514" i="1"/>
  <c r="X508" i="1"/>
  <c r="AL613" i="3"/>
  <c r="AL615" i="3"/>
  <c r="AL616" i="3"/>
  <c r="AL613" i="1"/>
  <c r="AL611" i="1"/>
  <c r="AM614" i="1"/>
  <c r="X505" i="3"/>
  <c r="X510" i="3"/>
  <c r="V503" i="3"/>
  <c r="V515" i="3" s="1"/>
  <c r="S515" i="3"/>
  <c r="X507" i="2"/>
  <c r="X503" i="2"/>
  <c r="X509" i="2"/>
  <c r="X510" i="2"/>
  <c r="AL611" i="2"/>
  <c r="AL613" i="2"/>
  <c r="AL615" i="2"/>
  <c r="AL614" i="2" s="1"/>
  <c r="X523" i="3" l="1"/>
  <c r="X524" i="3"/>
  <c r="X522" i="3"/>
  <c r="X503" i="3"/>
  <c r="X515" i="3" s="1"/>
  <c r="W515" i="3"/>
  <c r="X528" i="1"/>
  <c r="X523" i="1"/>
  <c r="X529" i="2"/>
  <c r="X521" i="2"/>
  <c r="AM611" i="1"/>
  <c r="AM613" i="1"/>
  <c r="AN610" i="2"/>
  <c r="U478" i="2"/>
  <c r="X502" i="2"/>
  <c r="X514" i="2" s="1"/>
  <c r="W514" i="2"/>
  <c r="X532" i="3"/>
  <c r="X529" i="3"/>
  <c r="X530" i="3"/>
  <c r="Y498" i="3"/>
  <c r="T541" i="1"/>
  <c r="W541" i="1" s="1"/>
  <c r="T543" i="1"/>
  <c r="W543" i="1" s="1"/>
  <c r="T545" i="1"/>
  <c r="W545" i="1" s="1"/>
  <c r="T547" i="1"/>
  <c r="W547" i="1" s="1"/>
  <c r="X547" i="1" s="1"/>
  <c r="T549" i="1"/>
  <c r="W549" i="1" s="1"/>
  <c r="T539" i="1"/>
  <c r="W539" i="1" s="1"/>
  <c r="S540" i="1"/>
  <c r="V540" i="1" s="1"/>
  <c r="S542" i="1"/>
  <c r="V542" i="1" s="1"/>
  <c r="S544" i="1"/>
  <c r="V544" i="1" s="1"/>
  <c r="S546" i="1"/>
  <c r="V546" i="1" s="1"/>
  <c r="S548" i="1"/>
  <c r="V548" i="1" s="1"/>
  <c r="T538" i="1"/>
  <c r="T542" i="1"/>
  <c r="W542" i="1" s="1"/>
  <c r="T546" i="1"/>
  <c r="W546" i="1" s="1"/>
  <c r="X546" i="1" s="1"/>
  <c r="T540" i="1"/>
  <c r="W540" i="1" s="1"/>
  <c r="X540" i="1" s="1"/>
  <c r="T544" i="1"/>
  <c r="W544" i="1" s="1"/>
  <c r="X544" i="1" s="1"/>
  <c r="T548" i="1"/>
  <c r="W548" i="1" s="1"/>
  <c r="U553" i="1"/>
  <c r="S538" i="1"/>
  <c r="S541" i="1"/>
  <c r="V541" i="1" s="1"/>
  <c r="S549" i="1"/>
  <c r="V549" i="1" s="1"/>
  <c r="S539" i="1"/>
  <c r="V539" i="1" s="1"/>
  <c r="S547" i="1"/>
  <c r="V547" i="1" s="1"/>
  <c r="S545" i="1"/>
  <c r="V545" i="1" s="1"/>
  <c r="S543" i="1"/>
  <c r="V543" i="1" s="1"/>
  <c r="AM613" i="3"/>
  <c r="AM615" i="3"/>
  <c r="AM616" i="3"/>
  <c r="AM613" i="2"/>
  <c r="AM611" i="2"/>
  <c r="AM615" i="2"/>
  <c r="AM614" i="2" s="1"/>
  <c r="X527" i="2"/>
  <c r="S532" i="2"/>
  <c r="V520" i="2"/>
  <c r="V532" i="2" s="1"/>
  <c r="AM614" i="3"/>
  <c r="X527" i="3"/>
  <c r="X528" i="3"/>
  <c r="V521" i="3"/>
  <c r="V533" i="3" s="1"/>
  <c r="S533" i="3"/>
  <c r="Y497" i="2"/>
  <c r="X481" i="2"/>
  <c r="AN611" i="3"/>
  <c r="AN614" i="3" s="1"/>
  <c r="U479" i="3"/>
  <c r="X522" i="1"/>
  <c r="V520" i="1"/>
  <c r="V532" i="1" s="1"/>
  <c r="S532" i="1"/>
  <c r="AN610" i="1"/>
  <c r="AN614" i="1" s="1"/>
  <c r="U478" i="1"/>
  <c r="X530" i="2"/>
  <c r="S539" i="2"/>
  <c r="V539" i="2" s="1"/>
  <c r="S541" i="2"/>
  <c r="V541" i="2" s="1"/>
  <c r="S543" i="2"/>
  <c r="V543" i="2" s="1"/>
  <c r="S545" i="2"/>
  <c r="V545" i="2" s="1"/>
  <c r="S547" i="2"/>
  <c r="V547" i="2" s="1"/>
  <c r="S549" i="2"/>
  <c r="V549" i="2" s="1"/>
  <c r="T538" i="2"/>
  <c r="S538" i="2"/>
  <c r="T539" i="2"/>
  <c r="W539" i="2" s="1"/>
  <c r="X539" i="2" s="1"/>
  <c r="T541" i="2"/>
  <c r="W541" i="2" s="1"/>
  <c r="X541" i="2" s="1"/>
  <c r="T543" i="2"/>
  <c r="W543" i="2" s="1"/>
  <c r="X543" i="2" s="1"/>
  <c r="T545" i="2"/>
  <c r="W545" i="2" s="1"/>
  <c r="X545" i="2" s="1"/>
  <c r="T547" i="2"/>
  <c r="W547" i="2" s="1"/>
  <c r="X547" i="2" s="1"/>
  <c r="T549" i="2"/>
  <c r="W549" i="2" s="1"/>
  <c r="X549" i="2" s="1"/>
  <c r="U553" i="2"/>
  <c r="S540" i="2"/>
  <c r="V540" i="2" s="1"/>
  <c r="S544" i="2"/>
  <c r="V544" i="2" s="1"/>
  <c r="S548" i="2"/>
  <c r="V548" i="2" s="1"/>
  <c r="T542" i="2"/>
  <c r="W542" i="2" s="1"/>
  <c r="T546" i="2"/>
  <c r="W546" i="2" s="1"/>
  <c r="T544" i="2"/>
  <c r="W544" i="2" s="1"/>
  <c r="X544" i="2" s="1"/>
  <c r="S542" i="2"/>
  <c r="V542" i="2" s="1"/>
  <c r="T540" i="2"/>
  <c r="W540" i="2" s="1"/>
  <c r="X540" i="2" s="1"/>
  <c r="T548" i="2"/>
  <c r="W548" i="2" s="1"/>
  <c r="S546" i="2"/>
  <c r="V546" i="2" s="1"/>
  <c r="X525" i="2"/>
  <c r="W520" i="2"/>
  <c r="T532" i="2"/>
  <c r="Y497" i="1"/>
  <c r="X481" i="1"/>
  <c r="T539" i="3"/>
  <c r="S539" i="3"/>
  <c r="T540" i="3"/>
  <c r="W540" i="3" s="1"/>
  <c r="T542" i="3"/>
  <c r="W542" i="3" s="1"/>
  <c r="T544" i="3"/>
  <c r="W544" i="3" s="1"/>
  <c r="T546" i="3"/>
  <c r="W546" i="3" s="1"/>
  <c r="T548" i="3"/>
  <c r="W548" i="3" s="1"/>
  <c r="T550" i="3"/>
  <c r="W550" i="3" s="1"/>
  <c r="S541" i="3"/>
  <c r="V541" i="3" s="1"/>
  <c r="S543" i="3"/>
  <c r="V543" i="3" s="1"/>
  <c r="S545" i="3"/>
  <c r="V545" i="3" s="1"/>
  <c r="S547" i="3"/>
  <c r="V547" i="3" s="1"/>
  <c r="S549" i="3"/>
  <c r="V549" i="3" s="1"/>
  <c r="T541" i="3"/>
  <c r="W541" i="3" s="1"/>
  <c r="T545" i="3"/>
  <c r="W545" i="3" s="1"/>
  <c r="X545" i="3" s="1"/>
  <c r="T549" i="3"/>
  <c r="W549" i="3" s="1"/>
  <c r="S542" i="3"/>
  <c r="V542" i="3" s="1"/>
  <c r="S546" i="3"/>
  <c r="V546" i="3" s="1"/>
  <c r="S550" i="3"/>
  <c r="V550" i="3" s="1"/>
  <c r="U554" i="3"/>
  <c r="T543" i="3"/>
  <c r="W543" i="3" s="1"/>
  <c r="S540" i="3"/>
  <c r="V540" i="3" s="1"/>
  <c r="S548" i="3"/>
  <c r="V548" i="3" s="1"/>
  <c r="T547" i="3"/>
  <c r="W547" i="3" s="1"/>
  <c r="X547" i="3" s="1"/>
  <c r="Y536" i="3"/>
  <c r="S544" i="3"/>
  <c r="V544" i="3" s="1"/>
  <c r="X526" i="3"/>
  <c r="W521" i="3"/>
  <c r="T533" i="3"/>
  <c r="X502" i="1"/>
  <c r="X514" i="1" s="1"/>
  <c r="W514" i="1"/>
  <c r="W520" i="1"/>
  <c r="T532" i="1"/>
  <c r="X525" i="1"/>
  <c r="X302" i="3"/>
  <c r="X522" i="2"/>
  <c r="X528" i="2"/>
  <c r="X531" i="2"/>
  <c r="X523" i="2"/>
  <c r="X550" i="3" l="1"/>
  <c r="X543" i="3"/>
  <c r="X549" i="3"/>
  <c r="X542" i="3"/>
  <c r="X544" i="3"/>
  <c r="X540" i="3"/>
  <c r="W532" i="1"/>
  <c r="X520" i="1"/>
  <c r="X532" i="1" s="1"/>
  <c r="X521" i="3"/>
  <c r="X533" i="3" s="1"/>
  <c r="W533" i="3"/>
  <c r="T557" i="3"/>
  <c r="S557" i="3"/>
  <c r="T558" i="3"/>
  <c r="W558" i="3" s="1"/>
  <c r="T560" i="3"/>
  <c r="W560" i="3" s="1"/>
  <c r="T562" i="3"/>
  <c r="W562" i="3" s="1"/>
  <c r="T564" i="3"/>
  <c r="W564" i="3" s="1"/>
  <c r="T566" i="3"/>
  <c r="W566" i="3" s="1"/>
  <c r="T568" i="3"/>
  <c r="W568" i="3" s="1"/>
  <c r="S559" i="3"/>
  <c r="V559" i="3" s="1"/>
  <c r="S561" i="3"/>
  <c r="V561" i="3" s="1"/>
  <c r="S563" i="3"/>
  <c r="V563" i="3" s="1"/>
  <c r="S565" i="3"/>
  <c r="V565" i="3" s="1"/>
  <c r="S567" i="3"/>
  <c r="V567" i="3" s="1"/>
  <c r="S558" i="3"/>
  <c r="V558" i="3" s="1"/>
  <c r="S562" i="3"/>
  <c r="V562" i="3" s="1"/>
  <c r="S566" i="3"/>
  <c r="V566" i="3" s="1"/>
  <c r="T559" i="3"/>
  <c r="W559" i="3" s="1"/>
  <c r="X559" i="3" s="1"/>
  <c r="T563" i="3"/>
  <c r="W563" i="3" s="1"/>
  <c r="T567" i="3"/>
  <c r="W567" i="3" s="1"/>
  <c r="T565" i="3"/>
  <c r="W565" i="3" s="1"/>
  <c r="X565" i="3" s="1"/>
  <c r="U572" i="3"/>
  <c r="S560" i="3"/>
  <c r="V560" i="3" s="1"/>
  <c r="S568" i="3"/>
  <c r="V568" i="3" s="1"/>
  <c r="Y554" i="3"/>
  <c r="T561" i="3"/>
  <c r="W561" i="3" s="1"/>
  <c r="S564" i="3"/>
  <c r="V564" i="3" s="1"/>
  <c r="T550" i="1"/>
  <c r="W538" i="1"/>
  <c r="AN611" i="2"/>
  <c r="AN613" i="2"/>
  <c r="AN615" i="2"/>
  <c r="AN614" i="2" s="1"/>
  <c r="Y303" i="3"/>
  <c r="AO610" i="1"/>
  <c r="U496" i="1"/>
  <c r="AN615" i="3"/>
  <c r="AN613" i="3"/>
  <c r="AN616" i="3"/>
  <c r="V538" i="1"/>
  <c r="V550" i="1" s="1"/>
  <c r="S550" i="1"/>
  <c r="X545" i="1"/>
  <c r="AO611" i="3"/>
  <c r="U497" i="3"/>
  <c r="Y516" i="3"/>
  <c r="Y515" i="1"/>
  <c r="X499" i="1"/>
  <c r="X541" i="3"/>
  <c r="X546" i="3"/>
  <c r="V539" i="3"/>
  <c r="V551" i="3" s="1"/>
  <c r="S551" i="3"/>
  <c r="X548" i="2"/>
  <c r="X546" i="2"/>
  <c r="V538" i="2"/>
  <c r="V550" i="2" s="1"/>
  <c r="S550" i="2"/>
  <c r="R532" i="2"/>
  <c r="T558" i="1"/>
  <c r="W558" i="1" s="1"/>
  <c r="T560" i="1"/>
  <c r="W560" i="1" s="1"/>
  <c r="X560" i="1" s="1"/>
  <c r="T562" i="1"/>
  <c r="W562" i="1" s="1"/>
  <c r="T564" i="1"/>
  <c r="W564" i="1" s="1"/>
  <c r="T566" i="1"/>
  <c r="W566" i="1" s="1"/>
  <c r="X566" i="1" s="1"/>
  <c r="U571" i="1"/>
  <c r="S557" i="1"/>
  <c r="V557" i="1" s="1"/>
  <c r="S559" i="1"/>
  <c r="V559" i="1" s="1"/>
  <c r="S561" i="1"/>
  <c r="V561" i="1" s="1"/>
  <c r="S563" i="1"/>
  <c r="V563" i="1" s="1"/>
  <c r="S565" i="1"/>
  <c r="V565" i="1" s="1"/>
  <c r="S567" i="1"/>
  <c r="V567" i="1" s="1"/>
  <c r="S558" i="1"/>
  <c r="V558" i="1" s="1"/>
  <c r="S562" i="1"/>
  <c r="V562" i="1" s="1"/>
  <c r="S566" i="1"/>
  <c r="V566" i="1" s="1"/>
  <c r="S556" i="1"/>
  <c r="S560" i="1"/>
  <c r="V560" i="1" s="1"/>
  <c r="S564" i="1"/>
  <c r="V564" i="1" s="1"/>
  <c r="T559" i="1"/>
  <c r="W559" i="1" s="1"/>
  <c r="T567" i="1"/>
  <c r="W567" i="1" s="1"/>
  <c r="X567" i="1" s="1"/>
  <c r="T557" i="1"/>
  <c r="W557" i="1" s="1"/>
  <c r="X557" i="1" s="1"/>
  <c r="T565" i="1"/>
  <c r="W565" i="1" s="1"/>
  <c r="X565" i="1" s="1"/>
  <c r="T556" i="1"/>
  <c r="T563" i="1"/>
  <c r="W563" i="1" s="1"/>
  <c r="T561" i="1"/>
  <c r="W561" i="1" s="1"/>
  <c r="X561" i="1" s="1"/>
  <c r="X539" i="1"/>
  <c r="X543" i="1"/>
  <c r="Y515" i="2"/>
  <c r="X499" i="2"/>
  <c r="AN613" i="1"/>
  <c r="AN611" i="1"/>
  <c r="AO614" i="1"/>
  <c r="X548" i="3"/>
  <c r="W539" i="3"/>
  <c r="T551" i="3"/>
  <c r="X520" i="2"/>
  <c r="X532" i="2" s="1"/>
  <c r="W532" i="2"/>
  <c r="X542" i="2"/>
  <c r="T558" i="2"/>
  <c r="W558" i="2" s="1"/>
  <c r="T560" i="2"/>
  <c r="W560" i="2" s="1"/>
  <c r="X560" i="2" s="1"/>
  <c r="T562" i="2"/>
  <c r="W562" i="2" s="1"/>
  <c r="X562" i="2" s="1"/>
  <c r="T564" i="2"/>
  <c r="W564" i="2" s="1"/>
  <c r="T566" i="2"/>
  <c r="W566" i="2" s="1"/>
  <c r="S557" i="2"/>
  <c r="V557" i="2" s="1"/>
  <c r="S559" i="2"/>
  <c r="V559" i="2" s="1"/>
  <c r="S561" i="2"/>
  <c r="V561" i="2" s="1"/>
  <c r="S563" i="2"/>
  <c r="V563" i="2" s="1"/>
  <c r="S565" i="2"/>
  <c r="V565" i="2" s="1"/>
  <c r="S567" i="2"/>
  <c r="V567" i="2" s="1"/>
  <c r="S560" i="2"/>
  <c r="V560" i="2" s="1"/>
  <c r="S564" i="2"/>
  <c r="V564" i="2" s="1"/>
  <c r="T556" i="2"/>
  <c r="T557" i="2"/>
  <c r="W557" i="2" s="1"/>
  <c r="X557" i="2" s="1"/>
  <c r="T561" i="2"/>
  <c r="W561" i="2" s="1"/>
  <c r="X561" i="2" s="1"/>
  <c r="T565" i="2"/>
  <c r="W565" i="2" s="1"/>
  <c r="S558" i="2"/>
  <c r="V558" i="2" s="1"/>
  <c r="S566" i="2"/>
  <c r="V566" i="2" s="1"/>
  <c r="S556" i="2"/>
  <c r="T559" i="2"/>
  <c r="W559" i="2" s="1"/>
  <c r="T567" i="2"/>
  <c r="W567" i="2" s="1"/>
  <c r="U571" i="2"/>
  <c r="S562" i="2"/>
  <c r="V562" i="2" s="1"/>
  <c r="T563" i="2"/>
  <c r="W563" i="2" s="1"/>
  <c r="X563" i="2" s="1"/>
  <c r="W538" i="2"/>
  <c r="T550" i="2"/>
  <c r="AO610" i="2"/>
  <c r="U496" i="2"/>
  <c r="X548" i="1"/>
  <c r="X542" i="1"/>
  <c r="X549" i="1"/>
  <c r="X541" i="1"/>
  <c r="X567" i="3" l="1"/>
  <c r="X566" i="3"/>
  <c r="X558" i="3"/>
  <c r="S576" i="2"/>
  <c r="V576" i="2" s="1"/>
  <c r="S578" i="2"/>
  <c r="V578" i="2" s="1"/>
  <c r="S580" i="2"/>
  <c r="V580" i="2" s="1"/>
  <c r="S582" i="2"/>
  <c r="V582" i="2" s="1"/>
  <c r="S584" i="2"/>
  <c r="V584" i="2" s="1"/>
  <c r="T576" i="2"/>
  <c r="W576" i="2" s="1"/>
  <c r="X576" i="2" s="1"/>
  <c r="T578" i="2"/>
  <c r="W578" i="2" s="1"/>
  <c r="X578" i="2" s="1"/>
  <c r="T580" i="2"/>
  <c r="W580" i="2" s="1"/>
  <c r="T582" i="2"/>
  <c r="W582" i="2" s="1"/>
  <c r="X582" i="2" s="1"/>
  <c r="T584" i="2"/>
  <c r="W584" i="2" s="1"/>
  <c r="X584" i="2" s="1"/>
  <c r="T575" i="2"/>
  <c r="W575" i="2" s="1"/>
  <c r="T579" i="2"/>
  <c r="W579" i="2" s="1"/>
  <c r="T583" i="2"/>
  <c r="W583" i="2" s="1"/>
  <c r="U589" i="2"/>
  <c r="S575" i="2"/>
  <c r="V575" i="2" s="1"/>
  <c r="S579" i="2"/>
  <c r="V579" i="2" s="1"/>
  <c r="S583" i="2"/>
  <c r="V583" i="2" s="1"/>
  <c r="S574" i="2"/>
  <c r="T577" i="2"/>
  <c r="W577" i="2" s="1"/>
  <c r="X577" i="2" s="1"/>
  <c r="T585" i="2"/>
  <c r="W585" i="2" s="1"/>
  <c r="S577" i="2"/>
  <c r="V577" i="2" s="1"/>
  <c r="S585" i="2"/>
  <c r="V585" i="2" s="1"/>
  <c r="T574" i="2"/>
  <c r="T581" i="2"/>
  <c r="W581" i="2" s="1"/>
  <c r="S581" i="2"/>
  <c r="V581" i="2" s="1"/>
  <c r="T575" i="1"/>
  <c r="W575" i="1" s="1"/>
  <c r="X575" i="1" s="1"/>
  <c r="T577" i="1"/>
  <c r="W577" i="1" s="1"/>
  <c r="T579" i="1"/>
  <c r="W579" i="1" s="1"/>
  <c r="T581" i="1"/>
  <c r="W581" i="1" s="1"/>
  <c r="T583" i="1"/>
  <c r="W583" i="1" s="1"/>
  <c r="T585" i="1"/>
  <c r="W585" i="1" s="1"/>
  <c r="X585" i="1" s="1"/>
  <c r="T574" i="1"/>
  <c r="S574" i="1"/>
  <c r="S576" i="1"/>
  <c r="V576" i="1" s="1"/>
  <c r="S578" i="1"/>
  <c r="V578" i="1" s="1"/>
  <c r="S580" i="1"/>
  <c r="V580" i="1" s="1"/>
  <c r="S582" i="1"/>
  <c r="V582" i="1" s="1"/>
  <c r="S584" i="1"/>
  <c r="V584" i="1" s="1"/>
  <c r="T578" i="1"/>
  <c r="W578" i="1" s="1"/>
  <c r="X578" i="1" s="1"/>
  <c r="T582" i="1"/>
  <c r="W582" i="1" s="1"/>
  <c r="T576" i="1"/>
  <c r="W576" i="1" s="1"/>
  <c r="T580" i="1"/>
  <c r="W580" i="1" s="1"/>
  <c r="X580" i="1" s="1"/>
  <c r="T584" i="1"/>
  <c r="W584" i="1" s="1"/>
  <c r="X584" i="1" s="1"/>
  <c r="U589" i="1"/>
  <c r="S581" i="1"/>
  <c r="V581" i="1" s="1"/>
  <c r="S579" i="1"/>
  <c r="V579" i="1" s="1"/>
  <c r="S577" i="1"/>
  <c r="V577" i="1" s="1"/>
  <c r="S585" i="1"/>
  <c r="V585" i="1" s="1"/>
  <c r="S575" i="1"/>
  <c r="V575" i="1" s="1"/>
  <c r="S583" i="1"/>
  <c r="V583" i="1" s="1"/>
  <c r="AP610" i="1"/>
  <c r="U514" i="1"/>
  <c r="AO613" i="3"/>
  <c r="AO615" i="3"/>
  <c r="AO616" i="3"/>
  <c r="Y534" i="3"/>
  <c r="X538" i="2"/>
  <c r="X550" i="2" s="1"/>
  <c r="W550" i="2"/>
  <c r="X567" i="2"/>
  <c r="W556" i="2"/>
  <c r="T568" i="2"/>
  <c r="Y533" i="2"/>
  <c r="X517" i="2"/>
  <c r="X558" i="1"/>
  <c r="AO614" i="3"/>
  <c r="AO613" i="1"/>
  <c r="AO611" i="1"/>
  <c r="X563" i="3"/>
  <c r="X564" i="3"/>
  <c r="V557" i="3"/>
  <c r="V569" i="3" s="1"/>
  <c r="S569" i="3"/>
  <c r="Y533" i="1"/>
  <c r="X517" i="1"/>
  <c r="X559" i="2"/>
  <c r="X565" i="2"/>
  <c r="X566" i="2"/>
  <c r="X558" i="2"/>
  <c r="AP610" i="2"/>
  <c r="U514" i="2"/>
  <c r="X563" i="1"/>
  <c r="V556" i="1"/>
  <c r="V568" i="1" s="1"/>
  <c r="S568" i="1"/>
  <c r="X564" i="1"/>
  <c r="AP611" i="3"/>
  <c r="AP614" i="3" s="1"/>
  <c r="U515" i="3"/>
  <c r="X561" i="3"/>
  <c r="T575" i="3"/>
  <c r="S575" i="3"/>
  <c r="T576" i="3"/>
  <c r="W576" i="3" s="1"/>
  <c r="T578" i="3"/>
  <c r="W578" i="3" s="1"/>
  <c r="T580" i="3"/>
  <c r="W580" i="3" s="1"/>
  <c r="T582" i="3"/>
  <c r="W582" i="3" s="1"/>
  <c r="T584" i="3"/>
  <c r="W584" i="3" s="1"/>
  <c r="T586" i="3"/>
  <c r="W586" i="3" s="1"/>
  <c r="S577" i="3"/>
  <c r="V577" i="3" s="1"/>
  <c r="S579" i="3"/>
  <c r="V579" i="3" s="1"/>
  <c r="S581" i="3"/>
  <c r="V581" i="3" s="1"/>
  <c r="S583" i="3"/>
  <c r="V583" i="3" s="1"/>
  <c r="S585" i="3"/>
  <c r="V585" i="3" s="1"/>
  <c r="T579" i="3"/>
  <c r="W579" i="3" s="1"/>
  <c r="X579" i="3" s="1"/>
  <c r="T583" i="3"/>
  <c r="W583" i="3" s="1"/>
  <c r="S576" i="3"/>
  <c r="V576" i="3" s="1"/>
  <c r="S580" i="3"/>
  <c r="V580" i="3" s="1"/>
  <c r="S584" i="3"/>
  <c r="V584" i="3" s="1"/>
  <c r="T577" i="3"/>
  <c r="W577" i="3" s="1"/>
  <c r="T585" i="3"/>
  <c r="W585" i="3" s="1"/>
  <c r="Y572" i="3"/>
  <c r="S582" i="3"/>
  <c r="V582" i="3" s="1"/>
  <c r="U590" i="3"/>
  <c r="S578" i="3"/>
  <c r="V578" i="3" s="1"/>
  <c r="T581" i="3"/>
  <c r="W581" i="3" s="1"/>
  <c r="S586" i="3"/>
  <c r="V586" i="3" s="1"/>
  <c r="X562" i="3"/>
  <c r="W557" i="3"/>
  <c r="T569" i="3"/>
  <c r="AO611" i="2"/>
  <c r="AO613" i="2"/>
  <c r="AO615" i="2"/>
  <c r="AO614" i="2" s="1"/>
  <c r="V556" i="2"/>
  <c r="V568" i="2" s="1"/>
  <c r="S568" i="2"/>
  <c r="X564" i="2"/>
  <c r="X539" i="3"/>
  <c r="X551" i="3" s="1"/>
  <c r="W551" i="3"/>
  <c r="W556" i="1"/>
  <c r="T568" i="1"/>
  <c r="X559" i="1"/>
  <c r="X562" i="1"/>
  <c r="R550" i="2"/>
  <c r="X320" i="3"/>
  <c r="X538" i="1"/>
  <c r="X550" i="1" s="1"/>
  <c r="W550" i="1"/>
  <c r="X568" i="3"/>
  <c r="X560" i="3"/>
  <c r="X586" i="3" l="1"/>
  <c r="X584" i="3"/>
  <c r="X576" i="3"/>
  <c r="X581" i="3"/>
  <c r="AP611" i="2"/>
  <c r="AP613" i="2"/>
  <c r="AP615" i="2"/>
  <c r="AP614" i="2" s="1"/>
  <c r="X576" i="1"/>
  <c r="V574" i="1"/>
  <c r="V586" i="1" s="1"/>
  <c r="S586" i="1"/>
  <c r="X581" i="1"/>
  <c r="X583" i="2"/>
  <c r="Y551" i="1"/>
  <c r="X535" i="1"/>
  <c r="X580" i="3"/>
  <c r="W575" i="3"/>
  <c r="T587" i="3"/>
  <c r="U532" i="1"/>
  <c r="AQ610" i="1"/>
  <c r="Y551" i="2"/>
  <c r="X535" i="2"/>
  <c r="AP611" i="1"/>
  <c r="AP613" i="1"/>
  <c r="AQ614" i="1"/>
  <c r="X577" i="1"/>
  <c r="W574" i="2"/>
  <c r="T586" i="2"/>
  <c r="X575" i="2"/>
  <c r="Y552" i="3"/>
  <c r="X557" i="3"/>
  <c r="X569" i="3" s="1"/>
  <c r="W569" i="3"/>
  <c r="X585" i="3"/>
  <c r="X578" i="3"/>
  <c r="AP614" i="1"/>
  <c r="X556" i="2"/>
  <c r="X568" i="2" s="1"/>
  <c r="W568" i="2"/>
  <c r="AQ611" i="3"/>
  <c r="AQ614" i="3" s="1"/>
  <c r="U533" i="3"/>
  <c r="X583" i="1"/>
  <c r="V574" i="2"/>
  <c r="V586" i="2" s="1"/>
  <c r="S586" i="2"/>
  <c r="T592" i="2"/>
  <c r="S592" i="2"/>
  <c r="T593" i="2"/>
  <c r="W593" i="2" s="1"/>
  <c r="T595" i="2"/>
  <c r="W595" i="2" s="1"/>
  <c r="T597" i="2"/>
  <c r="W597" i="2" s="1"/>
  <c r="X597" i="2" s="1"/>
  <c r="T599" i="2"/>
  <c r="W599" i="2" s="1"/>
  <c r="T601" i="2"/>
  <c r="W601" i="2" s="1"/>
  <c r="T603" i="2"/>
  <c r="W603" i="2" s="1"/>
  <c r="X603" i="2" s="1"/>
  <c r="S594" i="2"/>
  <c r="V594" i="2" s="1"/>
  <c r="S596" i="2"/>
  <c r="V596" i="2" s="1"/>
  <c r="S598" i="2"/>
  <c r="V598" i="2" s="1"/>
  <c r="S600" i="2"/>
  <c r="V600" i="2" s="1"/>
  <c r="S602" i="2"/>
  <c r="V602" i="2" s="1"/>
  <c r="T594" i="2"/>
  <c r="W594" i="2" s="1"/>
  <c r="X594" i="2" s="1"/>
  <c r="T598" i="2"/>
  <c r="W598" i="2" s="1"/>
  <c r="X598" i="2" s="1"/>
  <c r="T602" i="2"/>
  <c r="W602" i="2" s="1"/>
  <c r="S595" i="2"/>
  <c r="V595" i="2" s="1"/>
  <c r="S599" i="2"/>
  <c r="V599" i="2" s="1"/>
  <c r="S603" i="2"/>
  <c r="V603" i="2" s="1"/>
  <c r="S593" i="2"/>
  <c r="V593" i="2" s="1"/>
  <c r="S601" i="2"/>
  <c r="V601" i="2" s="1"/>
  <c r="T600" i="2"/>
  <c r="W600" i="2" s="1"/>
  <c r="X600" i="2" s="1"/>
  <c r="S597" i="2"/>
  <c r="V597" i="2" s="1"/>
  <c r="T596" i="2"/>
  <c r="W596" i="2" s="1"/>
  <c r="Y321" i="3"/>
  <c r="T593" i="3"/>
  <c r="S593" i="3"/>
  <c r="T594" i="3"/>
  <c r="W594" i="3" s="1"/>
  <c r="T596" i="3"/>
  <c r="W596" i="3" s="1"/>
  <c r="T598" i="3"/>
  <c r="W598" i="3" s="1"/>
  <c r="T600" i="3"/>
  <c r="W600" i="3" s="1"/>
  <c r="T602" i="3"/>
  <c r="W602" i="3" s="1"/>
  <c r="T604" i="3"/>
  <c r="W604" i="3" s="1"/>
  <c r="S595" i="3"/>
  <c r="V595" i="3" s="1"/>
  <c r="S597" i="3"/>
  <c r="V597" i="3" s="1"/>
  <c r="S599" i="3"/>
  <c r="V599" i="3" s="1"/>
  <c r="S601" i="3"/>
  <c r="V601" i="3" s="1"/>
  <c r="S603" i="3"/>
  <c r="V603" i="3" s="1"/>
  <c r="S596" i="3"/>
  <c r="V596" i="3" s="1"/>
  <c r="S600" i="3"/>
  <c r="V600" i="3" s="1"/>
  <c r="S604" i="3"/>
  <c r="V604" i="3" s="1"/>
  <c r="T597" i="3"/>
  <c r="W597" i="3" s="1"/>
  <c r="T601" i="3"/>
  <c r="W601" i="3" s="1"/>
  <c r="T599" i="3"/>
  <c r="W599" i="3" s="1"/>
  <c r="X599" i="3" s="1"/>
  <c r="Y590" i="3"/>
  <c r="S594" i="3"/>
  <c r="V594" i="3" s="1"/>
  <c r="S602" i="3"/>
  <c r="V602" i="3" s="1"/>
  <c r="T603" i="3"/>
  <c r="W603" i="3" s="1"/>
  <c r="S598" i="3"/>
  <c r="V598" i="3" s="1"/>
  <c r="T595" i="3"/>
  <c r="W595" i="3" s="1"/>
  <c r="X595" i="3" s="1"/>
  <c r="X577" i="3"/>
  <c r="X583" i="3"/>
  <c r="W568" i="1"/>
  <c r="X556" i="1"/>
  <c r="X568" i="1" s="1"/>
  <c r="R568" i="2"/>
  <c r="X582" i="3"/>
  <c r="V575" i="3"/>
  <c r="V587" i="3" s="1"/>
  <c r="S587" i="3"/>
  <c r="AP613" i="3"/>
  <c r="AP615" i="3"/>
  <c r="AP616" i="3"/>
  <c r="AQ610" i="2"/>
  <c r="U532" i="2"/>
  <c r="T594" i="1"/>
  <c r="W594" i="1" s="1"/>
  <c r="T596" i="1"/>
  <c r="W596" i="1" s="1"/>
  <c r="T598" i="1"/>
  <c r="W598" i="1" s="1"/>
  <c r="X598" i="1" s="1"/>
  <c r="T600" i="1"/>
  <c r="W600" i="1" s="1"/>
  <c r="X600" i="1" s="1"/>
  <c r="T602" i="1"/>
  <c r="W602" i="1" s="1"/>
  <c r="S593" i="1"/>
  <c r="V593" i="1" s="1"/>
  <c r="S595" i="1"/>
  <c r="V595" i="1" s="1"/>
  <c r="S597" i="1"/>
  <c r="V597" i="1" s="1"/>
  <c r="S599" i="1"/>
  <c r="V599" i="1" s="1"/>
  <c r="S601" i="1"/>
  <c r="V601" i="1" s="1"/>
  <c r="S603" i="1"/>
  <c r="V603" i="1" s="1"/>
  <c r="S594" i="1"/>
  <c r="V594" i="1" s="1"/>
  <c r="S598" i="1"/>
  <c r="V598" i="1" s="1"/>
  <c r="S602" i="1"/>
  <c r="V602" i="1" s="1"/>
  <c r="S592" i="1"/>
  <c r="S596" i="1"/>
  <c r="V596" i="1" s="1"/>
  <c r="S600" i="1"/>
  <c r="V600" i="1" s="1"/>
  <c r="T592" i="1"/>
  <c r="T599" i="1"/>
  <c r="W599" i="1" s="1"/>
  <c r="X599" i="1" s="1"/>
  <c r="T597" i="1"/>
  <c r="W597" i="1" s="1"/>
  <c r="X597" i="1" s="1"/>
  <c r="T595" i="1"/>
  <c r="W595" i="1" s="1"/>
  <c r="T603" i="1"/>
  <c r="W603" i="1" s="1"/>
  <c r="T593" i="1"/>
  <c r="W593" i="1" s="1"/>
  <c r="X593" i="1" s="1"/>
  <c r="T601" i="1"/>
  <c r="W601" i="1" s="1"/>
  <c r="X601" i="1" s="1"/>
  <c r="X582" i="1"/>
  <c r="W574" i="1"/>
  <c r="T586" i="1"/>
  <c r="X579" i="1"/>
  <c r="X581" i="2"/>
  <c r="X585" i="2"/>
  <c r="X579" i="2"/>
  <c r="X580" i="2"/>
  <c r="X603" i="3" l="1"/>
  <c r="X596" i="3"/>
  <c r="X602" i="3"/>
  <c r="X594" i="3"/>
  <c r="X604" i="3"/>
  <c r="X599" i="2"/>
  <c r="V592" i="2"/>
  <c r="V604" i="2" s="1"/>
  <c r="S604" i="2"/>
  <c r="R604" i="2" s="1"/>
  <c r="S64" i="2" s="1"/>
  <c r="Y569" i="2"/>
  <c r="X553" i="2"/>
  <c r="AR610" i="2"/>
  <c r="U550" i="2"/>
  <c r="X575" i="3"/>
  <c r="X587" i="3" s="1"/>
  <c r="W587" i="3"/>
  <c r="V592" i="1"/>
  <c r="V604" i="1" s="1"/>
  <c r="S604" i="1"/>
  <c r="AQ613" i="2"/>
  <c r="AQ611" i="2"/>
  <c r="AQ615" i="2"/>
  <c r="AQ614" i="2" s="1"/>
  <c r="X338" i="3"/>
  <c r="W592" i="2"/>
  <c r="T604" i="2"/>
  <c r="Y570" i="3"/>
  <c r="AQ613" i="1"/>
  <c r="AQ611" i="1"/>
  <c r="AR614" i="1"/>
  <c r="X574" i="1"/>
  <c r="X586" i="1" s="1"/>
  <c r="W586" i="1"/>
  <c r="X603" i="1"/>
  <c r="W592" i="1"/>
  <c r="T604" i="1"/>
  <c r="X596" i="1"/>
  <c r="X601" i="3"/>
  <c r="X600" i="3"/>
  <c r="V593" i="3"/>
  <c r="V605" i="3" s="1"/>
  <c r="S605" i="3"/>
  <c r="X596" i="2"/>
  <c r="X602" i="2"/>
  <c r="X595" i="2"/>
  <c r="R586" i="2"/>
  <c r="AQ613" i="3"/>
  <c r="AQ615" i="3"/>
  <c r="AQ616" i="3"/>
  <c r="W586" i="2"/>
  <c r="X574" i="2"/>
  <c r="X586" i="2" s="1"/>
  <c r="X595" i="1"/>
  <c r="X602" i="1"/>
  <c r="X594" i="1"/>
  <c r="Y569" i="1"/>
  <c r="X553" i="1"/>
  <c r="X597" i="3"/>
  <c r="X598" i="3"/>
  <c r="W593" i="3"/>
  <c r="T605" i="3"/>
  <c r="X601" i="2"/>
  <c r="X593" i="2"/>
  <c r="AR611" i="3"/>
  <c r="AR614" i="3" s="1"/>
  <c r="U551" i="3"/>
  <c r="AR610" i="1"/>
  <c r="U550" i="1"/>
  <c r="Y339" i="3" l="1"/>
  <c r="X592" i="2"/>
  <c r="X604" i="2" s="1"/>
  <c r="W604" i="2"/>
  <c r="X592" i="1"/>
  <c r="X604" i="1" s="1"/>
  <c r="W604" i="1"/>
  <c r="AS611" i="3"/>
  <c r="U569" i="3"/>
  <c r="AR611" i="1"/>
  <c r="AR613" i="1"/>
  <c r="AR613" i="2"/>
  <c r="AR611" i="2"/>
  <c r="AR615" i="2"/>
  <c r="AR614" i="2" s="1"/>
  <c r="AR615" i="3"/>
  <c r="AR613" i="3"/>
  <c r="AR616" i="3"/>
  <c r="X593" i="3"/>
  <c r="X605" i="3" s="1"/>
  <c r="W605" i="3"/>
  <c r="U568" i="1"/>
  <c r="AS610" i="1"/>
  <c r="Y587" i="2"/>
  <c r="X571" i="2"/>
  <c r="Y587" i="1"/>
  <c r="X571" i="1"/>
  <c r="Y588" i="3"/>
  <c r="U568" i="2"/>
  <c r="AS610" i="2"/>
  <c r="AT611" i="3" l="1"/>
  <c r="U587" i="3"/>
  <c r="AT610" i="2"/>
  <c r="U586" i="2"/>
  <c r="AS611" i="2"/>
  <c r="AS613" i="2"/>
  <c r="AS615" i="2"/>
  <c r="AS614" i="2" s="1"/>
  <c r="AS613" i="1"/>
  <c r="AS611" i="1"/>
  <c r="AS614" i="1"/>
  <c r="AS613" i="3"/>
  <c r="AS615" i="3"/>
  <c r="AS616" i="3"/>
  <c r="AT610" i="1"/>
  <c r="U586" i="1"/>
  <c r="AS614" i="3"/>
  <c r="Y605" i="2"/>
  <c r="X589" i="2"/>
  <c r="S63" i="2" s="1"/>
  <c r="X589" i="1"/>
  <c r="S63" i="1" s="1"/>
  <c r="Y605" i="1"/>
  <c r="Y606" i="3"/>
  <c r="X356" i="3"/>
  <c r="Y357" i="3" l="1"/>
  <c r="AT613" i="1"/>
  <c r="AT611" i="1"/>
  <c r="AU614" i="1"/>
  <c r="U604" i="1"/>
  <c r="AU610" i="1"/>
  <c r="AT614" i="1"/>
  <c r="AT613" i="3"/>
  <c r="AT615" i="3"/>
  <c r="AT616" i="3"/>
  <c r="AU611" i="3"/>
  <c r="AU614" i="3" s="1"/>
  <c r="U605" i="3"/>
  <c r="AU610" i="2"/>
  <c r="U604" i="2"/>
  <c r="AT614" i="3"/>
  <c r="AT611" i="2"/>
  <c r="AT613" i="2"/>
  <c r="AT615" i="2"/>
  <c r="AT614" i="2" s="1"/>
  <c r="F53" i="3" l="1"/>
  <c r="AU613" i="2"/>
  <c r="AU611" i="2"/>
  <c r="F47" i="2"/>
  <c r="X58" i="2" s="1"/>
  <c r="AU615" i="2"/>
  <c r="AU614" i="2" s="1"/>
  <c r="F51" i="2" s="1"/>
  <c r="R612" i="2"/>
  <c r="AU611" i="1"/>
  <c r="AU613" i="1"/>
  <c r="F47" i="1"/>
  <c r="X58" i="1" s="1"/>
  <c r="R612" i="1"/>
  <c r="AU613" i="3"/>
  <c r="F59" i="3" s="1"/>
  <c r="AU615" i="3"/>
  <c r="AU616" i="3"/>
  <c r="R612" i="3"/>
  <c r="F49" i="3" s="1"/>
  <c r="F51" i="3" s="1"/>
  <c r="A51" i="3" s="1"/>
  <c r="F51" i="1"/>
  <c r="X374" i="3"/>
  <c r="X60" i="1" l="1"/>
  <c r="W60" i="1" s="1"/>
  <c r="X59" i="1"/>
  <c r="W59" i="1" s="1"/>
  <c r="W61" i="1" s="1"/>
  <c r="F49" i="1" s="1"/>
  <c r="A49" i="1" s="1"/>
  <c r="Y375" i="3"/>
  <c r="X60" i="2"/>
  <c r="W60" i="2" s="1"/>
  <c r="X59" i="2"/>
  <c r="W59" i="2" s="1"/>
  <c r="W61" i="2" s="1"/>
  <c r="F49" i="2" s="1"/>
  <c r="A49" i="2" s="1"/>
  <c r="R617" i="3"/>
  <c r="F57" i="3"/>
  <c r="X392" i="3" l="1"/>
  <c r="Y393" i="3" l="1"/>
  <c r="X410" i="3" l="1"/>
  <c r="Y411" i="3" l="1"/>
  <c r="X428" i="3" l="1"/>
  <c r="Y429" i="3" l="1"/>
  <c r="X446" i="3" l="1"/>
  <c r="Y447" i="3" l="1"/>
  <c r="X464" i="3" l="1"/>
  <c r="Y465" i="3" l="1"/>
  <c r="X482" i="3" l="1"/>
  <c r="Y483" i="3" l="1"/>
  <c r="X500" i="3" l="1"/>
  <c r="Y501" i="3" l="1"/>
  <c r="X518" i="3" l="1"/>
  <c r="Y519" i="3" l="1"/>
  <c r="X536" i="3" l="1"/>
  <c r="Y537" i="3" l="1"/>
  <c r="X554" i="3" l="1"/>
  <c r="Y555" i="3" l="1"/>
  <c r="X572" i="3" l="1"/>
  <c r="Y573" i="3" l="1"/>
  <c r="X590" i="3" l="1"/>
  <c r="Y591" i="3" l="1"/>
  <c r="X62" i="3" s="1"/>
  <c r="F55" i="3" s="1"/>
  <c r="S64" i="3"/>
  <c r="S65" i="3" l="1"/>
</calcChain>
</file>

<file path=xl/sharedStrings.xml><?xml version="1.0" encoding="utf-8"?>
<sst xmlns="http://schemas.openxmlformats.org/spreadsheetml/2006/main" count="1231" uniqueCount="94">
  <si>
    <t>Your State</t>
  </si>
  <si>
    <t>System Size</t>
  </si>
  <si>
    <t>Out-of-Pocket Cost for the quoted Solar System</t>
  </si>
  <si>
    <t>Annual Solar System output in kWh</t>
  </si>
  <si>
    <t>Price per kWh you currently pay for electricity</t>
  </si>
  <si>
    <t>Show results over</t>
  </si>
  <si>
    <t>years</t>
  </si>
  <si>
    <t>kWh</t>
  </si>
  <si>
    <t>Advanced Options</t>
  </si>
  <si>
    <t>Annual bill inflation</t>
  </si>
  <si>
    <t>Energy exported to grid</t>
  </si>
  <si>
    <t>Feed In Tariff</t>
  </si>
  <si>
    <t>Feed in Tariff Duration</t>
  </si>
  <si>
    <t>System deregredation</t>
  </si>
  <si>
    <t>Assume Inverter Replacement</t>
  </si>
  <si>
    <t>$</t>
  </si>
  <si>
    <t>Include Opportunity Cost</t>
  </si>
  <si>
    <t>% per annum</t>
  </si>
  <si>
    <t>NSW</t>
  </si>
  <si>
    <t>ACT</t>
  </si>
  <si>
    <t>NT</t>
  </si>
  <si>
    <t>QLD</t>
  </si>
  <si>
    <t>SA</t>
  </si>
  <si>
    <t>TAS</t>
  </si>
  <si>
    <t>VIC</t>
  </si>
  <si>
    <t>kW</t>
  </si>
  <si>
    <t>Solar Annual Output</t>
  </si>
  <si>
    <t>Tables</t>
  </si>
  <si>
    <t>WA</t>
  </si>
  <si>
    <t>cents</t>
  </si>
  <si>
    <t>percent</t>
  </si>
  <si>
    <t>percent at</t>
  </si>
  <si>
    <t>After FiT:</t>
  </si>
  <si>
    <t>after</t>
  </si>
  <si>
    <t>cents/kWh</t>
  </si>
  <si>
    <t>or</t>
  </si>
  <si>
    <t>1 to 1</t>
  </si>
  <si>
    <t>Yes/NO</t>
  </si>
  <si>
    <t>Yes</t>
  </si>
  <si>
    <t>No</t>
  </si>
  <si>
    <t>Solar Power Calculator</t>
  </si>
  <si>
    <t>Feed in Tariff</t>
  </si>
  <si>
    <t>State</t>
  </si>
  <si>
    <t>Total Cost (Including NPV of replacement inverter):</t>
  </si>
  <si>
    <t>Total Electricity Savings:</t>
  </si>
  <si>
    <t>Payback:</t>
  </si>
  <si>
    <t>Levelised Cost of Electricity LCOE):</t>
  </si>
  <si>
    <t>Internal Rate of Return (IRR):</t>
  </si>
  <si>
    <t>Year</t>
  </si>
  <si>
    <t>Do not change</t>
  </si>
  <si>
    <t>Project Size</t>
  </si>
  <si>
    <t>Cost/Watt</t>
  </si>
  <si>
    <t>Total Lifetime Cost</t>
  </si>
  <si>
    <t>Inverter Replacement</t>
  </si>
  <si>
    <t>IRR Data Conversion</t>
  </si>
  <si>
    <t>Pay Off Calculation</t>
  </si>
  <si>
    <t>Upfront Payments</t>
  </si>
  <si>
    <t>(optional)</t>
  </si>
  <si>
    <t>Interest Rate</t>
  </si>
  <si>
    <t>Term</t>
  </si>
  <si>
    <t>Loan Payment</t>
  </si>
  <si>
    <t>Out of Pocket Cost</t>
  </si>
  <si>
    <t>Add to Mortgage</t>
  </si>
  <si>
    <t>Pay Cash</t>
  </si>
  <si>
    <t>Finance with Loan</t>
  </si>
  <si>
    <t>Discounted Production</t>
  </si>
  <si>
    <t>Monthly Production</t>
  </si>
  <si>
    <t>Consumed Savings</t>
  </si>
  <si>
    <t>Monthly Inflation</t>
  </si>
  <si>
    <t>Savings/Month</t>
  </si>
  <si>
    <t>Months</t>
  </si>
  <si>
    <t>Fit Savings</t>
  </si>
  <si>
    <t>kW price</t>
  </si>
  <si>
    <t>Yearly Savings</t>
  </si>
  <si>
    <t>Total Yearly Savings</t>
  </si>
  <si>
    <t>Yearly Savings after Loan Payment</t>
  </si>
  <si>
    <t>FIT</t>
  </si>
  <si>
    <t>Continuous Months</t>
  </si>
  <si>
    <t>Production</t>
  </si>
  <si>
    <t>Chart Data</t>
  </si>
  <si>
    <t>LCOE</t>
  </si>
  <si>
    <t>Total Savings Rounding</t>
  </si>
  <si>
    <t>Sum of Discounted Opp Production</t>
  </si>
  <si>
    <t>Opp Cost Year 1</t>
  </si>
  <si>
    <t>Total Opp Cost</t>
  </si>
  <si>
    <t>Production/System Deregredation</t>
  </si>
  <si>
    <t>IRR</t>
  </si>
  <si>
    <t>Rolling Savings</t>
  </si>
  <si>
    <t>Modified Internal Rate of Return (IRR):</t>
  </si>
  <si>
    <t>MIRR Reinvestment Rate</t>
  </si>
  <si>
    <t>MIRR Cost of Finance</t>
  </si>
  <si>
    <t>&gt;&gt;</t>
  </si>
  <si>
    <t>Using these numbers</t>
  </si>
  <si>
    <t>System deregradation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</si>
</sst>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0.0"/>
    <numFmt numFmtId="168" formatCode="0.000"/>
    <numFmt numFmtId="169" formatCode="0.0000000%"/>
    <numFmt numFmtId="170" formatCode="0.00000000"/>
    <numFmt numFmtId="171" formatCode="0.000000000"/>
    <numFmt numFmtId="172" formatCode="0.00000"/>
    <numFmt numFmtId="173" formatCode="_(&quot;$&quot;* #,##0.00000_);_(&quot;$&quot;* \(#,##0.00000\);_(&quot;$&quot;* &quot;-&quot;??_);_(@_)"/>
    <numFmt numFmtId="174" formatCode="_(&quot;$&quot;* #,##0.000000_);_(&quot;$&quot;* \(#,##0.000000\);_(&quot;$&quot;* &quot;-&quot;??_);_(@_)"/>
    <numFmt numFmtId="175" formatCode="_(&quot;$&quot;* #,##0.0000000_);_(&quot;$&quot;* \(#,##0.0000000\);_(&quot;$&quot;* &quot;-&quot;??_);_(@_)"/>
    <numFmt numFmtId="176" formatCode="_(&quot;$&quot;* #,##0.00000000_);_(&quot;$&quot;* \(#,##0.00000000\);_(&quot;$&quot;* &quot;-&quot;??_);_(@_)"/>
    <numFmt numFmtId="177" formatCode="0.0000000"/>
    <numFmt numFmtId="178" formatCode="#,##0.000000_);\(#,##0.000000\)"/>
    <numFmt numFmtId="179" formatCode="_(* #,##0.00000_);_(* \(#,##0.00000\);_(* &quot;-&quot;??_);_(@_)"/>
    <numFmt numFmtId="180" formatCode="#,##0.00000_);\(#,##0.00000\)"/>
    <numFmt numFmtId="181" formatCode="#,##0.0000000_);\(#,##0.0000000\)"/>
    <numFmt numFmtId="182" formatCode="#,##0.00000000_);\(#,##0.00000000\)"/>
    <numFmt numFmtId="183" formatCode="_(* #,##0.0000000000_);_(* \(#,##0.0000000000\);_(* &quot;-&quot;?????_);_(@_)"/>
    <numFmt numFmtId="184" formatCode="0.0000000000000"/>
    <numFmt numFmtId="185" formatCode="&quot;$&quot;#,##0.00;[Red]&quot;$&quot;#,##0.00"/>
    <numFmt numFmtId="186" formatCode="0.000000"/>
    <numFmt numFmtId="187" formatCode="_(* #,##0.0_);_(* \(#,##0.0\);_(* &quot;-&quot;??_);_(@_)"/>
    <numFmt numFmtId="188" formatCode="_(* #,##0_);_(* \(#,##0\);_(* &quot;-&quot;??_);_(@_)"/>
    <numFmt numFmtId="189" formatCode="0.000000000000000000000"/>
    <numFmt numFmtId="190" formatCode="0.0000000000"/>
    <numFmt numFmtId="191" formatCode="_-* #,##0.0000000_-;\-* #,##0.0000000_-;_-* &quot;-&quot;??_-;_-@_-"/>
    <numFmt numFmtId="192" formatCode="_-&quot;$&quot;* #,##0.00000000000000000_-;\-&quot;$&quot;* #,##0.00000000000000000_-;_-&quot;$&quot;* &quot;-&quot;??_-;_-@_-"/>
    <numFmt numFmtId="193" formatCode="0.00000000000000"/>
    <numFmt numFmtId="194" formatCode="_(&quot;$&quot;* #,##0.00000000000000_);_(&quot;$&quot;* \(#,##0.00000000000000\);_(&quot;$&quot;* &quot;-&quot;??_);_(@_)"/>
    <numFmt numFmtId="195" formatCode="0.000000000000000"/>
    <numFmt numFmtId="196" formatCode="0.000000000000000000"/>
    <numFmt numFmtId="197" formatCode="_-&quot;$&quot;* #,##0.0000_-;\-&quot;$&quot;* #,##0.0000_-;_-&quot;$&quot;* &quot;-&quot;??_-;_-@_-"/>
    <numFmt numFmtId="198" formatCode="_-&quot;$&quot;* #,##0.000000_-;\-&quot;$&quot;* #,##0.000000_-;_-&quot;$&quot;* &quot;-&quot;??_-;_-@_-"/>
    <numFmt numFmtId="199" formatCode="_-* #,##0.000000_-;\-* #,##0.000000_-;_-* &quot;-&quot;??_-;_-@_-"/>
    <numFmt numFmtId="200" formatCode="_-* #,##0.00000000000_-;\-* #,##0.00000000000_-;_-* &quot;-&quot;??_-;_-@_-"/>
    <numFmt numFmtId="201" formatCode="0.0000%"/>
    <numFmt numFmtId="202" formatCode="_-* #,##0.00000_-;\-* #,##0.00000_-;_-* &quot;-&quot;??_-;_-@_-"/>
    <numFmt numFmtId="203" formatCode="_-* #,##0.000000000_-;\-* #,##0.000000000_-;_-* &quot;-&quot;??_-;_-@_-"/>
    <numFmt numFmtId="204" formatCode="0.00000000000"/>
    <numFmt numFmtId="205" formatCode="0.00000000000000000"/>
    <numFmt numFmtId="206" formatCode="0.000%"/>
    <numFmt numFmtId="207" formatCode="0.00000%"/>
    <numFmt numFmtId="208" formatCode="0.000000000000000000%"/>
    <numFmt numFmtId="209" formatCode="0.000000000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20"/>
      <color rgb="FFFF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1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0" xfId="0" applyFont="1" applyFill="1" applyBorder="1"/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1" xfId="0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0" borderId="2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9" xfId="0" applyFill="1" applyBorder="1"/>
    <xf numFmtId="44" fontId="0" fillId="3" borderId="1" xfId="2" applyFont="1" applyFill="1" applyBorder="1"/>
    <xf numFmtId="44" fontId="0" fillId="0" borderId="1" xfId="2" applyFont="1" applyBorder="1"/>
    <xf numFmtId="44" fontId="0" fillId="0" borderId="9" xfId="2" applyFont="1" applyBorder="1"/>
    <xf numFmtId="0" fontId="2" fillId="0" borderId="2" xfId="0" applyFont="1" applyBorder="1"/>
    <xf numFmtId="44" fontId="0" fillId="0" borderId="0" xfId="0" applyNumberFormat="1"/>
    <xf numFmtId="44" fontId="0" fillId="3" borderId="1" xfId="0" applyNumberFormat="1" applyFill="1" applyBorder="1"/>
    <xf numFmtId="9" fontId="0" fillId="0" borderId="0" xfId="0" applyNumberFormat="1"/>
    <xf numFmtId="169" fontId="0" fillId="0" borderId="0" xfId="3" applyNumberFormat="1" applyFont="1"/>
    <xf numFmtId="171" fontId="0" fillId="0" borderId="0" xfId="3" applyNumberFormat="1" applyFont="1"/>
    <xf numFmtId="171" fontId="0" fillId="0" borderId="0" xfId="0" applyNumberFormat="1" applyFill="1"/>
    <xf numFmtId="0" fontId="0" fillId="0" borderId="0" xfId="0" applyFill="1"/>
    <xf numFmtId="0" fontId="0" fillId="3" borderId="9" xfId="0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3" borderId="16" xfId="0" applyFill="1" applyBorder="1"/>
    <xf numFmtId="0" fontId="0" fillId="3" borderId="17" xfId="0" applyFill="1" applyBorder="1"/>
    <xf numFmtId="44" fontId="0" fillId="3" borderId="16" xfId="2" applyFont="1" applyFill="1" applyBorder="1"/>
    <xf numFmtId="44" fontId="0" fillId="3" borderId="17" xfId="2" applyFont="1" applyFill="1" applyBorder="1"/>
    <xf numFmtId="0" fontId="0" fillId="3" borderId="18" xfId="0" applyFill="1" applyBorder="1"/>
    <xf numFmtId="44" fontId="0" fillId="0" borderId="0" xfId="0" applyNumberFormat="1" applyFill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ill="1" applyBorder="1" applyAlignment="1">
      <alignment vertical="center"/>
    </xf>
    <xf numFmtId="44" fontId="0" fillId="2" borderId="0" xfId="2" applyFont="1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4" fontId="0" fillId="3" borderId="1" xfId="2" applyFont="1" applyFill="1" applyBorder="1" applyAlignment="1">
      <alignment horizontal="center"/>
    </xf>
    <xf numFmtId="0" fontId="2" fillId="0" borderId="0" xfId="0" applyFont="1" applyAlignment="1"/>
    <xf numFmtId="0" fontId="0" fillId="2" borderId="5" xfId="0" applyFill="1" applyBorder="1" applyAlignment="1">
      <alignment horizontal="right"/>
    </xf>
    <xf numFmtId="167" fontId="0" fillId="0" borderId="0" xfId="0" applyNumberFormat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9" fontId="0" fillId="0" borderId="0" xfId="3" applyFont="1"/>
    <xf numFmtId="44" fontId="0" fillId="0" borderId="0" xfId="2" applyFont="1"/>
    <xf numFmtId="10" fontId="0" fillId="0" borderId="0" xfId="0" applyNumberFormat="1"/>
    <xf numFmtId="9" fontId="0" fillId="0" borderId="0" xfId="0" applyNumberFormat="1" applyFill="1"/>
    <xf numFmtId="44" fontId="0" fillId="0" borderId="0" xfId="2" applyFont="1" applyFill="1"/>
    <xf numFmtId="10" fontId="0" fillId="0" borderId="1" xfId="3" applyNumberFormat="1" applyFont="1" applyBorder="1"/>
    <xf numFmtId="0" fontId="0" fillId="2" borderId="1" xfId="0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9" fontId="0" fillId="2" borderId="1" xfId="3" applyFont="1" applyFill="1" applyBorder="1" applyAlignment="1" applyProtection="1">
      <alignment horizontal="center"/>
      <protection locked="0"/>
    </xf>
    <xf numFmtId="44" fontId="0" fillId="2" borderId="1" xfId="2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6" fontId="0" fillId="2" borderId="1" xfId="3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/>
    </xf>
    <xf numFmtId="44" fontId="0" fillId="2" borderId="1" xfId="2" applyFont="1" applyFill="1" applyBorder="1"/>
    <xf numFmtId="44" fontId="0" fillId="2" borderId="0" xfId="2" applyNumberFormat="1" applyFont="1" applyFill="1" applyBorder="1"/>
    <xf numFmtId="0" fontId="2" fillId="2" borderId="4" xfId="0" applyFont="1" applyFill="1" applyBorder="1"/>
    <xf numFmtId="0" fontId="0" fillId="0" borderId="0" xfId="0" applyFill="1" applyBorder="1"/>
    <xf numFmtId="166" fontId="0" fillId="2" borderId="1" xfId="3" applyNumberFormat="1" applyFont="1" applyFill="1" applyBorder="1"/>
    <xf numFmtId="8" fontId="0" fillId="0" borderId="0" xfId="0" applyNumberFormat="1"/>
    <xf numFmtId="178" fontId="0" fillId="0" borderId="0" xfId="2" applyNumberFormat="1" applyFont="1"/>
    <xf numFmtId="39" fontId="0" fillId="0" borderId="0" xfId="0" applyNumberFormat="1"/>
    <xf numFmtId="10" fontId="0" fillId="2" borderId="0" xfId="3" applyNumberFormat="1" applyFont="1" applyFill="1" applyBorder="1"/>
    <xf numFmtId="177" fontId="0" fillId="0" borderId="0" xfId="0" applyNumberFormat="1"/>
    <xf numFmtId="168" fontId="0" fillId="0" borderId="0" xfId="0" applyNumberFormat="1"/>
    <xf numFmtId="2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 applyFill="1"/>
    <xf numFmtId="2" fontId="0" fillId="0" borderId="0" xfId="0" applyNumberFormat="1" applyFill="1"/>
    <xf numFmtId="183" fontId="0" fillId="0" borderId="0" xfId="0" applyNumberFormat="1"/>
    <xf numFmtId="174" fontId="0" fillId="0" borderId="0" xfId="0" applyNumberFormat="1"/>
    <xf numFmtId="180" fontId="0" fillId="0" borderId="0" xfId="0" applyNumberFormat="1"/>
    <xf numFmtId="181" fontId="0" fillId="0" borderId="0" xfId="0" applyNumberFormat="1"/>
    <xf numFmtId="173" fontId="0" fillId="0" borderId="0" xfId="0" applyNumberFormat="1"/>
    <xf numFmtId="172" fontId="0" fillId="0" borderId="0" xfId="0" applyNumberFormat="1"/>
    <xf numFmtId="182" fontId="0" fillId="0" borderId="0" xfId="0" applyNumberFormat="1"/>
    <xf numFmtId="43" fontId="0" fillId="0" borderId="0" xfId="0" applyNumberFormat="1"/>
    <xf numFmtId="14" fontId="0" fillId="0" borderId="0" xfId="0" applyNumberFormat="1"/>
    <xf numFmtId="0" fontId="0" fillId="0" borderId="0" xfId="0" applyNumberFormat="1"/>
    <xf numFmtId="9" fontId="0" fillId="0" borderId="0" xfId="3" applyNumberFormat="1" applyFont="1"/>
    <xf numFmtId="0" fontId="2" fillId="2" borderId="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84" fontId="0" fillId="0" borderId="0" xfId="0" applyNumberFormat="1"/>
    <xf numFmtId="184" fontId="0" fillId="0" borderId="0" xfId="0" applyNumberFormat="1" applyFill="1"/>
    <xf numFmtId="44" fontId="0" fillId="8" borderId="0" xfId="2" applyFont="1" applyFill="1" applyBorder="1" applyAlignment="1">
      <alignment horizontal="center"/>
    </xf>
    <xf numFmtId="175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72" fontId="10" fillId="0" borderId="0" xfId="0" applyNumberFormat="1" applyFont="1" applyFill="1" applyAlignment="1">
      <alignment horizontal="center"/>
    </xf>
    <xf numFmtId="176" fontId="0" fillId="0" borderId="0" xfId="0" applyNumberFormat="1" applyFill="1"/>
    <xf numFmtId="186" fontId="11" fillId="0" borderId="0" xfId="0" applyNumberFormat="1" applyFont="1"/>
    <xf numFmtId="177" fontId="11" fillId="0" borderId="0" xfId="0" applyNumberFormat="1" applyFont="1" applyFill="1"/>
    <xf numFmtId="175" fontId="12" fillId="0" borderId="0" xfId="0" applyNumberFormat="1" applyFont="1"/>
    <xf numFmtId="176" fontId="12" fillId="0" borderId="0" xfId="0" applyNumberFormat="1" applyFont="1" applyFill="1"/>
    <xf numFmtId="0" fontId="2" fillId="0" borderId="0" xfId="0" applyFont="1" applyAlignment="1">
      <alignment horizontal="center"/>
    </xf>
    <xf numFmtId="172" fontId="10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Fill="1" applyAlignment="1">
      <alignment horizontal="center"/>
    </xf>
    <xf numFmtId="0" fontId="15" fillId="9" borderId="24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left"/>
    </xf>
    <xf numFmtId="9" fontId="8" fillId="0" borderId="0" xfId="0" applyNumberFormat="1" applyFont="1" applyFill="1" applyBorder="1" applyAlignment="1">
      <alignment vertical="center" textRotation="90"/>
    </xf>
    <xf numFmtId="10" fontId="0" fillId="0" borderId="0" xfId="0" applyNumberFormat="1" applyFill="1" applyBorder="1"/>
    <xf numFmtId="0" fontId="2" fillId="0" borderId="0" xfId="0" applyFont="1" applyFill="1" applyBorder="1" applyAlignment="1">
      <alignment horizontal="right"/>
    </xf>
    <xf numFmtId="4" fontId="0" fillId="0" borderId="0" xfId="0" applyNumberFormat="1" applyFill="1" applyBorder="1"/>
    <xf numFmtId="2" fontId="0" fillId="0" borderId="0" xfId="2" applyNumberFormat="1" applyFont="1" applyFill="1" applyBorder="1"/>
    <xf numFmtId="172" fontId="0" fillId="0" borderId="0" xfId="2" applyNumberFormat="1" applyFont="1" applyFill="1" applyBorder="1"/>
    <xf numFmtId="179" fontId="0" fillId="0" borderId="0" xfId="1" applyNumberFormat="1" applyFont="1" applyFill="1" applyBorder="1"/>
    <xf numFmtId="0" fontId="0" fillId="0" borderId="0" xfId="0" applyNumberFormat="1" applyFill="1" applyBorder="1"/>
    <xf numFmtId="44" fontId="0" fillId="0" borderId="0" xfId="0" applyNumberFormat="1" applyFill="1" applyBorder="1"/>
    <xf numFmtId="44" fontId="0" fillId="0" borderId="0" xfId="2" applyFont="1" applyFill="1" applyBorder="1"/>
    <xf numFmtId="9" fontId="0" fillId="0" borderId="0" xfId="3" applyFont="1" applyFill="1" applyBorder="1"/>
    <xf numFmtId="185" fontId="0" fillId="0" borderId="0" xfId="0" applyNumberFormat="1" applyFill="1" applyBorder="1"/>
    <xf numFmtId="0" fontId="2" fillId="0" borderId="0" xfId="0" applyFont="1" applyFill="1" applyBorder="1" applyAlignment="1"/>
    <xf numFmtId="9" fontId="2" fillId="0" borderId="0" xfId="0" applyNumberFormat="1" applyFont="1" applyFill="1" applyBorder="1" applyAlignment="1"/>
    <xf numFmtId="185" fontId="0" fillId="0" borderId="1" xfId="0" applyNumberFormat="1" applyBorder="1"/>
    <xf numFmtId="177" fontId="0" fillId="0" borderId="1" xfId="0" applyNumberFormat="1" applyFill="1" applyBorder="1"/>
    <xf numFmtId="0" fontId="16" fillId="10" borderId="34" xfId="0" applyFont="1" applyFill="1" applyBorder="1"/>
    <xf numFmtId="44" fontId="0" fillId="0" borderId="18" xfId="0" applyNumberFormat="1" applyBorder="1"/>
    <xf numFmtId="176" fontId="0" fillId="0" borderId="18" xfId="0" applyNumberFormat="1" applyBorder="1"/>
    <xf numFmtId="185" fontId="0" fillId="0" borderId="18" xfId="0" applyNumberFormat="1" applyBorder="1"/>
    <xf numFmtId="0" fontId="16" fillId="10" borderId="24" xfId="0" applyFont="1" applyFill="1" applyBorder="1"/>
    <xf numFmtId="0" fontId="16" fillId="10" borderId="33" xfId="0" applyFont="1" applyFill="1" applyBorder="1" applyAlignment="1">
      <alignment horizontal="center"/>
    </xf>
    <xf numFmtId="44" fontId="0" fillId="10" borderId="1" xfId="0" applyNumberFormat="1" applyFill="1" applyBorder="1"/>
    <xf numFmtId="0" fontId="0" fillId="10" borderId="1" xfId="0" applyFill="1" applyBorder="1"/>
    <xf numFmtId="44" fontId="2" fillId="0" borderId="0" xfId="0" applyNumberFormat="1" applyFont="1"/>
    <xf numFmtId="0" fontId="15" fillId="9" borderId="25" xfId="0" applyFont="1" applyFill="1" applyBorder="1" applyAlignment="1">
      <alignment horizontal="left"/>
    </xf>
    <xf numFmtId="0" fontId="9" fillId="11" borderId="1" xfId="0" applyFont="1" applyFill="1" applyBorder="1"/>
    <xf numFmtId="0" fontId="9" fillId="11" borderId="1" xfId="0" applyFont="1" applyFill="1" applyBorder="1" applyAlignment="1">
      <alignment horizontal="right"/>
    </xf>
    <xf numFmtId="0" fontId="0" fillId="12" borderId="1" xfId="0" applyFill="1" applyBorder="1"/>
    <xf numFmtId="188" fontId="0" fillId="0" borderId="1" xfId="1" applyNumberFormat="1" applyFont="1" applyBorder="1"/>
    <xf numFmtId="187" fontId="0" fillId="0" borderId="1" xfId="1" applyNumberFormat="1" applyFont="1" applyBorder="1"/>
    <xf numFmtId="0" fontId="2" fillId="10" borderId="1" xfId="0" applyFont="1" applyFill="1" applyBorder="1"/>
    <xf numFmtId="172" fontId="0" fillId="0" borderId="1" xfId="0" applyNumberFormat="1" applyBorder="1"/>
    <xf numFmtId="172" fontId="0" fillId="0" borderId="1" xfId="0" applyNumberFormat="1" applyFill="1" applyBorder="1"/>
    <xf numFmtId="1" fontId="0" fillId="0" borderId="0" xfId="0" applyNumberFormat="1" applyFill="1" applyAlignment="1"/>
    <xf numFmtId="186" fontId="4" fillId="0" borderId="0" xfId="0" applyNumberFormat="1" applyFont="1"/>
    <xf numFmtId="185" fontId="0" fillId="0" borderId="0" xfId="0" applyNumberFormat="1"/>
    <xf numFmtId="184" fontId="0" fillId="0" borderId="1" xfId="0" applyNumberFormat="1" applyFill="1" applyBorder="1"/>
    <xf numFmtId="0" fontId="0" fillId="0" borderId="1" xfId="0" applyBorder="1" applyAlignment="1">
      <alignment horizontal="center"/>
    </xf>
    <xf numFmtId="170" fontId="0" fillId="0" borderId="1" xfId="0" applyNumberFormat="1" applyBorder="1"/>
    <xf numFmtId="175" fontId="0" fillId="0" borderId="1" xfId="0" applyNumberFormat="1" applyFill="1" applyBorder="1"/>
    <xf numFmtId="175" fontId="4" fillId="0" borderId="1" xfId="0" applyNumberFormat="1" applyFont="1" applyBorder="1"/>
    <xf numFmtId="176" fontId="0" fillId="0" borderId="1" xfId="0" applyNumberFormat="1" applyFill="1" applyBorder="1"/>
    <xf numFmtId="0" fontId="0" fillId="0" borderId="0" xfId="0" applyAlignment="1">
      <alignment horizontal="center"/>
    </xf>
    <xf numFmtId="177" fontId="0" fillId="0" borderId="1" xfId="0" applyNumberFormat="1" applyFont="1" applyBorder="1"/>
    <xf numFmtId="0" fontId="0" fillId="0" borderId="0" xfId="0" applyAlignment="1">
      <alignment horizontal="center"/>
    </xf>
    <xf numFmtId="177" fontId="0" fillId="0" borderId="1" xfId="0" applyNumberForma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44" fontId="0" fillId="0" borderId="1" xfId="0" applyNumberFormat="1" applyBorder="1"/>
    <xf numFmtId="44" fontId="2" fillId="0" borderId="1" xfId="0" applyNumberFormat="1" applyFont="1" applyBorder="1"/>
    <xf numFmtId="44" fontId="0" fillId="0" borderId="35" xfId="0" applyNumberFormat="1" applyBorder="1"/>
    <xf numFmtId="44" fontId="0" fillId="0" borderId="36" xfId="0" applyNumberFormat="1" applyBorder="1"/>
    <xf numFmtId="191" fontId="0" fillId="0" borderId="1" xfId="0" applyNumberFormat="1" applyBorder="1"/>
    <xf numFmtId="190" fontId="18" fillId="0" borderId="0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75" fontId="4" fillId="0" borderId="0" xfId="0" applyNumberFormat="1" applyFont="1"/>
    <xf numFmtId="189" fontId="0" fillId="0" borderId="1" xfId="0" applyNumberFormat="1" applyFont="1" applyFill="1" applyBorder="1"/>
    <xf numFmtId="176" fontId="0" fillId="0" borderId="1" xfId="0" applyNumberFormat="1" applyFont="1" applyFill="1" applyBorder="1"/>
    <xf numFmtId="170" fontId="0" fillId="0" borderId="1" xfId="0" applyNumberFormat="1" applyFont="1" applyBorder="1"/>
    <xf numFmtId="190" fontId="0" fillId="0" borderId="1" xfId="0" applyNumberFormat="1" applyFont="1" applyFill="1" applyBorder="1"/>
    <xf numFmtId="192" fontId="0" fillId="0" borderId="0" xfId="0" applyNumberFormat="1"/>
    <xf numFmtId="190" fontId="0" fillId="0" borderId="0" xfId="0" applyNumberFormat="1"/>
    <xf numFmtId="193" fontId="0" fillId="0" borderId="0" xfId="0" applyNumberFormat="1"/>
    <xf numFmtId="194" fontId="0" fillId="0" borderId="1" xfId="0" applyNumberFormat="1" applyFill="1" applyBorder="1"/>
    <xf numFmtId="195" fontId="0" fillId="0" borderId="0" xfId="0" applyNumberFormat="1"/>
    <xf numFmtId="43" fontId="0" fillId="0" borderId="1" xfId="1" applyNumberFormat="1" applyFont="1" applyBorder="1"/>
    <xf numFmtId="165" fontId="0" fillId="0" borderId="1" xfId="0" applyNumberFormat="1" applyBorder="1"/>
    <xf numFmtId="165" fontId="0" fillId="0" borderId="0" xfId="0" applyNumberFormat="1"/>
    <xf numFmtId="164" fontId="2" fillId="0" borderId="0" xfId="0" applyNumberFormat="1" applyFont="1"/>
    <xf numFmtId="186" fontId="0" fillId="0" borderId="0" xfId="0" applyNumberFormat="1"/>
    <xf numFmtId="197" fontId="0" fillId="0" borderId="0" xfId="0" applyNumberFormat="1"/>
    <xf numFmtId="198" fontId="0" fillId="0" borderId="0" xfId="0" applyNumberFormat="1"/>
    <xf numFmtId="164" fontId="0" fillId="0" borderId="0" xfId="0" applyNumberFormat="1" applyFill="1"/>
    <xf numFmtId="186" fontId="0" fillId="0" borderId="1" xfId="0" applyNumberFormat="1" applyBorder="1"/>
    <xf numFmtId="199" fontId="0" fillId="0" borderId="0" xfId="0" applyNumberFormat="1"/>
    <xf numFmtId="200" fontId="0" fillId="0" borderId="0" xfId="0" applyNumberFormat="1"/>
    <xf numFmtId="10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172" fontId="2" fillId="0" borderId="0" xfId="3" applyNumberFormat="1" applyFont="1" applyFill="1" applyBorder="1" applyAlignment="1"/>
    <xf numFmtId="185" fontId="0" fillId="0" borderId="18" xfId="0" applyNumberFormat="1" applyFont="1" applyBorder="1"/>
    <xf numFmtId="0" fontId="0" fillId="0" borderId="1" xfId="0" applyFont="1" applyBorder="1" applyAlignment="1">
      <alignment horizontal="center"/>
    </xf>
    <xf numFmtId="175" fontId="0" fillId="0" borderId="1" xfId="0" applyNumberFormat="1" applyFont="1" applyBorder="1"/>
    <xf numFmtId="196" fontId="0" fillId="0" borderId="1" xfId="0" applyNumberFormat="1" applyFont="1" applyFill="1" applyBorder="1"/>
    <xf numFmtId="0" fontId="0" fillId="0" borderId="0" xfId="0" applyFont="1"/>
    <xf numFmtId="0" fontId="0" fillId="0" borderId="1" xfId="0" applyFont="1" applyFill="1" applyBorder="1"/>
    <xf numFmtId="0" fontId="0" fillId="0" borderId="9" xfId="0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0" fontId="0" fillId="0" borderId="0" xfId="0" applyNumberFormat="1" applyFont="1" applyFill="1" applyBorder="1"/>
    <xf numFmtId="44" fontId="0" fillId="0" borderId="0" xfId="0" applyNumberFormat="1" applyFont="1" applyFill="1" applyBorder="1"/>
    <xf numFmtId="0" fontId="0" fillId="0" borderId="0" xfId="0" applyFont="1" applyFill="1" applyBorder="1" applyAlignment="1">
      <alignment wrapText="1"/>
    </xf>
    <xf numFmtId="170" fontId="0" fillId="0" borderId="0" xfId="0" applyNumberFormat="1" applyFont="1"/>
    <xf numFmtId="0" fontId="0" fillId="0" borderId="0" xfId="0" applyFont="1" applyFill="1"/>
    <xf numFmtId="0" fontId="0" fillId="12" borderId="1" xfId="0" applyFont="1" applyFill="1" applyBorder="1"/>
    <xf numFmtId="0" fontId="2" fillId="10" borderId="34" xfId="0" applyFont="1" applyFill="1" applyBorder="1"/>
    <xf numFmtId="176" fontId="0" fillId="0" borderId="18" xfId="0" applyNumberFormat="1" applyFont="1" applyBorder="1"/>
    <xf numFmtId="44" fontId="0" fillId="0" borderId="0" xfId="0" applyNumberFormat="1" applyFont="1"/>
    <xf numFmtId="170" fontId="0" fillId="0" borderId="0" xfId="0" applyNumberFormat="1" applyFill="1"/>
    <xf numFmtId="177" fontId="0" fillId="0" borderId="0" xfId="0" applyNumberFormat="1" applyFill="1"/>
    <xf numFmtId="0" fontId="0" fillId="10" borderId="22" xfId="0" applyFill="1" applyBorder="1"/>
    <xf numFmtId="0" fontId="16" fillId="10" borderId="1" xfId="0" applyFont="1" applyFill="1" applyBorder="1" applyAlignment="1">
      <alignment horizontal="center"/>
    </xf>
    <xf numFmtId="184" fontId="0" fillId="0" borderId="1" xfId="0" applyNumberFormat="1" applyBorder="1"/>
    <xf numFmtId="202" fontId="0" fillId="0" borderId="0" xfId="0" applyNumberFormat="1" applyFill="1" applyBorder="1" applyAlignment="1">
      <alignment wrapText="1"/>
    </xf>
    <xf numFmtId="199" fontId="0" fillId="0" borderId="0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Font="1" applyFill="1" applyBorder="1" applyAlignment="1">
      <alignment wrapText="1"/>
    </xf>
    <xf numFmtId="165" fontId="0" fillId="0" borderId="0" xfId="0" applyNumberFormat="1" applyFont="1" applyFill="1" applyBorder="1" applyAlignment="1">
      <alignment wrapText="1"/>
    </xf>
    <xf numFmtId="177" fontId="0" fillId="0" borderId="0" xfId="0" applyNumberFormat="1" applyFill="1" applyBorder="1"/>
    <xf numFmtId="203" fontId="0" fillId="0" borderId="0" xfId="0" applyNumberFormat="1" applyFill="1" applyBorder="1" applyAlignment="1">
      <alignment wrapText="1"/>
    </xf>
    <xf numFmtId="199" fontId="0" fillId="0" borderId="0" xfId="0" applyNumberFormat="1" applyFont="1" applyFill="1" applyBorder="1" applyAlignment="1">
      <alignment wrapText="1"/>
    </xf>
    <xf numFmtId="171" fontId="0" fillId="0" borderId="0" xfId="0" applyNumberFormat="1" applyFill="1" applyBorder="1" applyAlignment="1">
      <alignment wrapText="1"/>
    </xf>
    <xf numFmtId="170" fontId="0" fillId="0" borderId="0" xfId="0" applyNumberFormat="1" applyFill="1" applyBorder="1"/>
    <xf numFmtId="204" fontId="0" fillId="0" borderId="0" xfId="0" applyNumberFormat="1" applyFill="1" applyBorder="1"/>
    <xf numFmtId="2" fontId="0" fillId="0" borderId="1" xfId="0" applyNumberFormat="1" applyBorder="1"/>
    <xf numFmtId="0" fontId="0" fillId="10" borderId="37" xfId="0" applyFill="1" applyBorder="1" applyAlignment="1"/>
    <xf numFmtId="185" fontId="0" fillId="0" borderId="1" xfId="0" applyNumberFormat="1" applyFont="1" applyFill="1" applyBorder="1"/>
    <xf numFmtId="186" fontId="2" fillId="0" borderId="0" xfId="0" applyNumberFormat="1" applyFont="1" applyFill="1"/>
    <xf numFmtId="172" fontId="0" fillId="13" borderId="1" xfId="0" applyNumberFormat="1" applyFill="1" applyBorder="1"/>
    <xf numFmtId="0" fontId="2" fillId="10" borderId="1" xfId="0" applyFont="1" applyFill="1" applyBorder="1" applyAlignment="1">
      <alignment horizontal="right"/>
    </xf>
    <xf numFmtId="166" fontId="0" fillId="0" borderId="0" xfId="3" applyNumberFormat="1" applyFont="1" applyFill="1" applyBorder="1" applyAlignment="1" applyProtection="1">
      <alignment horizontal="center"/>
      <protection locked="0"/>
    </xf>
    <xf numFmtId="44" fontId="0" fillId="0" borderId="1" xfId="2" applyFont="1" applyFill="1" applyBorder="1"/>
    <xf numFmtId="190" fontId="0" fillId="13" borderId="1" xfId="0" applyNumberFormat="1" applyFill="1" applyBorder="1"/>
    <xf numFmtId="190" fontId="0" fillId="0" borderId="0" xfId="0" applyNumberFormat="1" applyFill="1"/>
    <xf numFmtId="205" fontId="0" fillId="0" borderId="0" xfId="0" applyNumberFormat="1"/>
    <xf numFmtId="166" fontId="0" fillId="0" borderId="1" xfId="3" applyNumberFormat="1" applyFont="1" applyBorder="1"/>
    <xf numFmtId="206" fontId="0" fillId="0" borderId="0" xfId="3" applyNumberFormat="1" applyFont="1"/>
    <xf numFmtId="207" fontId="0" fillId="0" borderId="0" xfId="3" applyNumberFormat="1" applyFont="1"/>
    <xf numFmtId="208" fontId="0" fillId="0" borderId="0" xfId="0" applyNumberFormat="1"/>
    <xf numFmtId="2" fontId="0" fillId="0" borderId="0" xfId="0" applyNumberFormat="1" applyFill="1" applyBorder="1"/>
    <xf numFmtId="0" fontId="0" fillId="0" borderId="0" xfId="2" applyNumberFormat="1" applyFont="1" applyFill="1" applyBorder="1"/>
    <xf numFmtId="195" fontId="0" fillId="13" borderId="1" xfId="0" applyNumberFormat="1" applyFill="1" applyBorder="1"/>
    <xf numFmtId="171" fontId="0" fillId="0" borderId="0" xfId="0" applyNumberFormat="1" applyFill="1" applyBorder="1"/>
    <xf numFmtId="193" fontId="0" fillId="0" borderId="37" xfId="0" applyNumberFormat="1" applyFill="1" applyBorder="1"/>
    <xf numFmtId="184" fontId="0" fillId="0" borderId="0" xfId="0" applyNumberFormat="1" applyFill="1" applyBorder="1"/>
    <xf numFmtId="193" fontId="0" fillId="0" borderId="0" xfId="0" applyNumberFormat="1" applyFill="1"/>
    <xf numFmtId="209" fontId="0" fillId="0" borderId="0" xfId="0" applyNumberFormat="1"/>
    <xf numFmtId="195" fontId="0" fillId="0" borderId="0" xfId="0" applyNumberFormat="1" applyFill="1" applyBorder="1"/>
    <xf numFmtId="201" fontId="0" fillId="0" borderId="1" xfId="0" applyNumberFormat="1" applyBorder="1"/>
    <xf numFmtId="44" fontId="0" fillId="10" borderId="22" xfId="0" applyNumberFormat="1" applyFill="1" applyBorder="1"/>
    <xf numFmtId="0" fontId="2" fillId="10" borderId="1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" fillId="2" borderId="23" xfId="0" applyFont="1" applyFill="1" applyBorder="1" applyAlignment="1">
      <alignment horizontal="right" wrapText="1"/>
    </xf>
    <xf numFmtId="44" fontId="0" fillId="2" borderId="22" xfId="2" applyFont="1" applyFill="1" applyBorder="1" applyAlignment="1" applyProtection="1">
      <alignment horizontal="center"/>
      <protection locked="0"/>
    </xf>
    <xf numFmtId="44" fontId="0" fillId="2" borderId="18" xfId="2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left"/>
    </xf>
    <xf numFmtId="0" fontId="16" fillId="10" borderId="1" xfId="0" applyFont="1" applyFill="1" applyBorder="1" applyAlignment="1">
      <alignment horizontal="right"/>
    </xf>
    <xf numFmtId="0" fontId="17" fillId="10" borderId="1" xfId="0" applyFont="1" applyFill="1" applyBorder="1" applyAlignment="1">
      <alignment horizontal="right"/>
    </xf>
    <xf numFmtId="0" fontId="16" fillId="10" borderId="22" xfId="0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6" fillId="6" borderId="24" xfId="0" applyFont="1" applyFill="1" applyBorder="1" applyAlignment="1">
      <alignment horizontal="left"/>
    </xf>
    <xf numFmtId="0" fontId="6" fillId="6" borderId="25" xfId="0" applyFont="1" applyFill="1" applyBorder="1" applyAlignment="1">
      <alignment horizontal="left"/>
    </xf>
    <xf numFmtId="0" fontId="6" fillId="6" borderId="26" xfId="0" applyFont="1" applyFill="1" applyBorder="1" applyAlignment="1">
      <alignment horizontal="left"/>
    </xf>
    <xf numFmtId="44" fontId="0" fillId="2" borderId="22" xfId="2" applyFont="1" applyFill="1" applyBorder="1" applyAlignment="1" applyProtection="1">
      <alignment horizontal="center" vertical="center"/>
      <protection locked="0"/>
    </xf>
    <xf numFmtId="44" fontId="0" fillId="2" borderId="18" xfId="2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7" fillId="5" borderId="0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5" fillId="7" borderId="19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center" vertical="top"/>
    </xf>
    <xf numFmtId="0" fontId="1" fillId="0" borderId="0" xfId="0" applyFont="1"/>
    <xf numFmtId="0" fontId="1" fillId="2" borderId="4" xfId="0" applyFont="1" applyFill="1" applyBorder="1"/>
    <xf numFmtId="0" fontId="1" fillId="2" borderId="0" xfId="0" applyFont="1" applyFill="1" applyBorder="1"/>
    <xf numFmtId="0" fontId="0" fillId="0" borderId="38" xfId="0" applyFill="1" applyBorder="1"/>
    <xf numFmtId="1" fontId="0" fillId="0" borderId="0" xfId="0" applyNumberFormat="1"/>
    <xf numFmtId="1" fontId="0" fillId="3" borderId="1" xfId="0" applyNumberFormat="1" applyFill="1" applyBorder="1" applyAlignment="1">
      <alignment horizontal="center"/>
    </xf>
  </cellXfs>
  <cellStyles count="1168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66969138512499"/>
          <c:y val="0.113989709402899"/>
          <c:w val="0.852459541286268"/>
          <c:h val="0.5751298974418980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'Pay Cash'!$R$615:$AU$615</c:f>
              <c:numCache>
                <c:formatCode>General</c:formatCode>
                <c:ptCount val="30"/>
                <c:pt idx="0">
                  <c:v>1821.2040000000004</c:v>
                </c:pt>
                <c:pt idx="1">
                  <c:v>1829.8086044266195</c:v>
                </c:pt>
                <c:pt idx="2">
                  <c:v>1851.5063680196249</c:v>
                </c:pt>
                <c:pt idx="3">
                  <c:v>1875.0169447817048</c:v>
                </c:pt>
                <c:pt idx="4">
                  <c:v>1900.4646093017659</c:v>
                </c:pt>
                <c:pt idx="5">
                  <c:v>1927.9822230402815</c:v>
                </c:pt>
                <c:pt idx="6">
                  <c:v>1957.7118274435932</c:v>
                </c:pt>
                <c:pt idx="7">
                  <c:v>1989.8052780265602</c:v>
                </c:pt>
                <c:pt idx="8">
                  <c:v>2024.4249222533485</c:v>
                </c:pt>
                <c:pt idx="9">
                  <c:v>2061.7443242416512</c:v>
                </c:pt>
                <c:pt idx="10">
                  <c:v>2101.9490395245821</c:v>
                </c:pt>
                <c:pt idx="11">
                  <c:v>2145.2374433278833</c:v>
                </c:pt>
                <c:pt idx="12">
                  <c:v>2191.8216160589282</c:v>
                </c:pt>
                <c:pt idx="13">
                  <c:v>2241.928289959315</c:v>
                </c:pt>
                <c:pt idx="14">
                  <c:v>2295.7998611458115</c:v>
                </c:pt>
                <c:pt idx="15">
                  <c:v>1553.6954715562665</c:v>
                </c:pt>
                <c:pt idx="16">
                  <c:v>2415.8921656290076</c:v>
                </c:pt>
                <c:pt idx="17">
                  <c:v>2482.6861268777579</c:v>
                </c:pt>
                <c:pt idx="18">
                  <c:v>2554.3939998809442</c:v>
                </c:pt>
                <c:pt idx="19">
                  <c:v>2631.3543035849139</c:v>
                </c:pt>
                <c:pt idx="20">
                  <c:v>2713.9289422286465</c:v>
                </c:pt>
                <c:pt idx="21">
                  <c:v>2802.5048206328479</c:v>
                </c:pt>
                <c:pt idx="22">
                  <c:v>2897.4955710623894</c:v>
                </c:pt>
                <c:pt idx="23">
                  <c:v>2999.3433993685803</c:v>
                </c:pt>
                <c:pt idx="24">
                  <c:v>3108.5210586504941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E-4242-A5F8-2D4EED38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6866880"/>
        <c:axId val="-77458096"/>
      </c:barChart>
      <c:catAx>
        <c:axId val="2686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3720083518927497"/>
              <c:y val="0.82901606838471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745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45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Savings per year($)</a:t>
                </a:r>
              </a:p>
            </c:rich>
          </c:tx>
          <c:layout>
            <c:manualLayout>
              <c:xMode val="edge"/>
              <c:yMode val="edge"/>
              <c:x val="1.6393452717043601E-2"/>
              <c:y val="0.10362700854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66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'Add to Mortgage'!#REF!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7-4E44-9B8C-33A03BCCDCB1}"/>
            </c:ext>
          </c:extLst>
        </c:ser>
        <c:ser>
          <c:idx val="1"/>
          <c:order val="1"/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'Add to Mortgage'!#REF!</c:f>
              <c:numCache>
                <c:formatCode>General</c:formatCode>
                <c:ptCount val="30"/>
                <c:pt idx="0">
                  <c:v>905.24</c:v>
                </c:pt>
                <c:pt idx="1">
                  <c:v>956.16487400000005</c:v>
                </c:pt>
                <c:pt idx="2">
                  <c:v>1010.5196286512599</c:v>
                </c:pt>
                <c:pt idx="3">
                  <c:v>1068.5332598575269</c:v>
                </c:pt>
                <c:pt idx="4">
                  <c:v>1130.450058416435</c:v>
                </c:pt>
                <c:pt idx="5">
                  <c:v>1196.5306315646931</c:v>
                </c:pt>
                <c:pt idx="6">
                  <c:v>1267.0529927522839</c:v>
                </c:pt>
                <c:pt idx="7">
                  <c:v>1342.313724202678</c:v>
                </c:pt>
                <c:pt idx="8">
                  <c:v>1422.62921712045</c:v>
                </c:pt>
                <c:pt idx="9">
                  <c:v>1508.3369947323649</c:v>
                </c:pt>
                <c:pt idx="10">
                  <c:v>1599.7971236943779</c:v>
                </c:pt>
                <c:pt idx="11">
                  <c:v>1697.393719766513</c:v>
                </c:pt>
                <c:pt idx="12">
                  <c:v>1801.5365540517651</c:v>
                </c:pt>
                <c:pt idx="13">
                  <c:v>1912.6627665157021</c:v>
                </c:pt>
                <c:pt idx="14">
                  <c:v>1231.23869395205</c:v>
                </c:pt>
                <c:pt idx="15">
                  <c:v>2157.7618200380871</c:v>
                </c:pt>
                <c:pt idx="16">
                  <c:v>2292.7628556342602</c:v>
                </c:pt>
                <c:pt idx="17">
                  <c:v>2436.807958026995</c:v>
                </c:pt>
                <c:pt idx="18">
                  <c:v>2590.501098394745</c:v>
                </c:pt>
                <c:pt idx="19">
                  <c:v>2754.4865873971048</c:v>
                </c:pt>
                <c:pt idx="20">
                  <c:v>2929.451769448011</c:v>
                </c:pt>
                <c:pt idx="21">
                  <c:v>3116.1298969394602</c:v>
                </c:pt>
                <c:pt idx="22">
                  <c:v>3315.3031964346328</c:v>
                </c:pt>
                <c:pt idx="23">
                  <c:v>3527.806139652052</c:v>
                </c:pt>
                <c:pt idx="24">
                  <c:v>3754.5289329187822</c:v>
                </c:pt>
                <c:pt idx="25">
                  <c:v>3996.4212396841972</c:v>
                </c:pt>
                <c:pt idx="26">
                  <c:v>4254.4961516604681</c:v>
                </c:pt>
                <c:pt idx="27">
                  <c:v>4529.8344251954977</c:v>
                </c:pt>
                <c:pt idx="28">
                  <c:v>4823.5890005932379</c:v>
                </c:pt>
                <c:pt idx="29">
                  <c:v>5136.9898232793757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7-4E44-9B8C-33A03BCCD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39902016"/>
        <c:axId val="-77441152"/>
      </c:barChart>
      <c:catAx>
        <c:axId val="-3990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74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744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Savings per year($)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39902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18949787706"/>
          <c:y val="0.113402275923473"/>
          <c:w val="0.86455669484378195"/>
          <c:h val="0.577320677428589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'Add to Mortgage'!$R$611:$AU$611</c:f>
              <c:numCache>
                <c:formatCode>_("$"* #,##0.00_);_("$"* \(#,##0.00\);_("$"* "-"??_);_(@_)</c:formatCode>
                <c:ptCount val="30"/>
                <c:pt idx="0">
                  <c:v>375.82350600039706</c:v>
                </c:pt>
                <c:pt idx="1">
                  <c:v>402.79372767826362</c:v>
                </c:pt>
                <c:pt idx="2">
                  <c:v>457.36594140867066</c:v>
                </c:pt>
                <c:pt idx="3">
                  <c:v>515.7370887694758</c:v>
                </c:pt>
                <c:pt idx="4">
                  <c:v>578.16948593658458</c:v>
                </c:pt>
                <c:pt idx="5">
                  <c:v>644.94356837147052</c:v>
                </c:pt>
                <c:pt idx="6">
                  <c:v>716.35914237760539</c:v>
                </c:pt>
                <c:pt idx="7">
                  <c:v>792.7367231059161</c:v>
                </c:pt>
                <c:pt idx="8">
                  <c:v>874.41896498057713</c:v>
                </c:pt>
                <c:pt idx="9">
                  <c:v>961.77219092890482</c:v>
                </c:pt>
                <c:pt idx="10">
                  <c:v>1055.1880272400738</c:v>
                </c:pt>
                <c:pt idx="11">
                  <c:v>1155.0851513487794</c:v>
                </c:pt>
                <c:pt idx="12">
                  <c:v>1261.9111603439226</c:v>
                </c:pt>
                <c:pt idx="13">
                  <c:v>1376.1445685412029</c:v>
                </c:pt>
                <c:pt idx="14">
                  <c:v>1498.2969430344592</c:v>
                </c:pt>
                <c:pt idx="15">
                  <c:v>828.91518675639691</c:v>
                </c:pt>
                <c:pt idx="16">
                  <c:v>1768.583979237661</c:v>
                </c:pt>
                <c:pt idx="17">
                  <c:v>1917.9283859569741</c:v>
                </c:pt>
                <c:pt idx="18">
                  <c:v>2077.6166479274589</c:v>
                </c:pt>
                <c:pt idx="19">
                  <c:v>2248.363163968661</c:v>
                </c:pt>
                <c:pt idx="20">
                  <c:v>2960.348172973273</c:v>
                </c:pt>
                <c:pt idx="21">
                  <c:v>3155.5551863996911</c:v>
                </c:pt>
                <c:pt idx="22">
                  <c:v>3364.2735961960225</c:v>
                </c:pt>
                <c:pt idx="23">
                  <c:v>3587.4365944257547</c:v>
                </c:pt>
                <c:pt idx="24">
                  <c:v>3826.0418319747114</c:v>
                </c:pt>
                <c:pt idx="25">
                  <c:v>4081.1558709281117</c:v>
                </c:pt>
                <c:pt idx="26">
                  <c:v>4353.9189444876138</c:v>
                </c:pt>
                <c:pt idx="27">
                  <c:v>4645.5500456711025</c:v>
                </c:pt>
                <c:pt idx="28">
                  <c:v>4957.3523675053229</c:v>
                </c:pt>
                <c:pt idx="29">
                  <c:v>5290.7191189900859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9-A141-B03B-2661E11C5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7429008"/>
        <c:axId val="-40116176"/>
      </c:barChart>
      <c:catAx>
        <c:axId val="-7742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3037958292759102"/>
              <c:y val="0.82989847380359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011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11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Savings per year($)</a:t>
                </a:r>
              </a:p>
            </c:rich>
          </c:tx>
          <c:layout>
            <c:manualLayout>
              <c:xMode val="edge"/>
              <c:yMode val="edge"/>
              <c:x val="1.6455691117085201E-2"/>
              <c:y val="0.108247627017861"/>
            </c:manualLayout>
          </c:layout>
          <c:overlay val="0"/>
          <c:spPr>
            <a:noFill/>
            <a:ln w="25400">
              <a:noFill/>
            </a:ln>
          </c:sp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7429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18949787706"/>
          <c:y val="0.113402275923473"/>
          <c:w val="0.86455669484378195"/>
          <c:h val="0.577320677428589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'Finance with Loan'!$R$611:$AU$611</c:f>
              <c:numCache>
                <c:formatCode>_("$"* #,##0.00_);_("$"* \(#,##0.00\);_("$"* "-"??_);_(@_)</c:formatCode>
                <c:ptCount val="30"/>
                <c:pt idx="0">
                  <c:v>-462.43129918140301</c:v>
                </c:pt>
                <c:pt idx="1">
                  <c:v>-435.46107750353644</c:v>
                </c:pt>
                <c:pt idx="2">
                  <c:v>-380.8888637731294</c:v>
                </c:pt>
                <c:pt idx="3">
                  <c:v>-322.51771641232426</c:v>
                </c:pt>
                <c:pt idx="4">
                  <c:v>-260.08531924521549</c:v>
                </c:pt>
                <c:pt idx="5">
                  <c:v>-193.31123681032955</c:v>
                </c:pt>
                <c:pt idx="6">
                  <c:v>1245.775636377208</c:v>
                </c:pt>
                <c:pt idx="7">
                  <c:v>1322.1532171055187</c:v>
                </c:pt>
                <c:pt idx="8">
                  <c:v>1403.8354589801797</c:v>
                </c:pt>
                <c:pt idx="9">
                  <c:v>1491.1886849285074</c:v>
                </c:pt>
                <c:pt idx="10">
                  <c:v>1584.6045212396764</c:v>
                </c:pt>
                <c:pt idx="11">
                  <c:v>1684.501645348382</c:v>
                </c:pt>
                <c:pt idx="12">
                  <c:v>1791.3276543435252</c:v>
                </c:pt>
                <c:pt idx="13">
                  <c:v>1905.5610625408056</c:v>
                </c:pt>
                <c:pt idx="14">
                  <c:v>2027.7134370340618</c:v>
                </c:pt>
                <c:pt idx="15">
                  <c:v>1358.3316807559995</c:v>
                </c:pt>
                <c:pt idx="16">
                  <c:v>2298.0004732372636</c:v>
                </c:pt>
                <c:pt idx="17">
                  <c:v>2447.3448799565767</c:v>
                </c:pt>
                <c:pt idx="18">
                  <c:v>2607.0331419270615</c:v>
                </c:pt>
                <c:pt idx="19">
                  <c:v>2777.7796579682636</c:v>
                </c:pt>
                <c:pt idx="20">
                  <c:v>2960.348172973273</c:v>
                </c:pt>
                <c:pt idx="21">
                  <c:v>3155.5551863996911</c:v>
                </c:pt>
                <c:pt idx="22">
                  <c:v>3364.2735961960225</c:v>
                </c:pt>
                <c:pt idx="23">
                  <c:v>3587.4365944257547</c:v>
                </c:pt>
                <c:pt idx="24">
                  <c:v>3826.0418319747114</c:v>
                </c:pt>
                <c:pt idx="25">
                  <c:v>4081.1558709281117</c:v>
                </c:pt>
                <c:pt idx="26">
                  <c:v>4353.9189444876138</c:v>
                </c:pt>
                <c:pt idx="27">
                  <c:v>4645.5500456711025</c:v>
                </c:pt>
                <c:pt idx="28">
                  <c:v>4957.3523675053229</c:v>
                </c:pt>
                <c:pt idx="29">
                  <c:v>5290.7191189900859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D-884D-93BA-3E532C123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531888"/>
        <c:axId val="30535280"/>
      </c:barChart>
      <c:catAx>
        <c:axId val="3053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3037958292759102"/>
              <c:y val="0.82989847380359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3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3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Savings per year($)</a:t>
                </a:r>
              </a:p>
            </c:rich>
          </c:tx>
          <c:layout>
            <c:manualLayout>
              <c:xMode val="edge"/>
              <c:yMode val="edge"/>
              <c:x val="1.6455691117085201E-2"/>
              <c:y val="0.108247627017861"/>
            </c:manualLayout>
          </c:layout>
          <c:overlay val="0"/>
          <c:spPr>
            <a:noFill/>
            <a:ln w="25400">
              <a:noFill/>
            </a:ln>
          </c:sp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31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61</xdr:row>
      <xdr:rowOff>127000</xdr:rowOff>
    </xdr:from>
    <xdr:to>
      <xdr:col>12</xdr:col>
      <xdr:colOff>38100</xdr:colOff>
      <xdr:row>77</xdr:row>
      <xdr:rowOff>139700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0</xdr:rowOff>
    </xdr:from>
    <xdr:to>
      <xdr:col>12</xdr:col>
      <xdr:colOff>139700</xdr:colOff>
      <xdr:row>0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59</xdr:row>
      <xdr:rowOff>88900</xdr:rowOff>
    </xdr:from>
    <xdr:to>
      <xdr:col>12</xdr:col>
      <xdr:colOff>139700</xdr:colOff>
      <xdr:row>75</xdr:row>
      <xdr:rowOff>114300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59</xdr:row>
      <xdr:rowOff>88900</xdr:rowOff>
    </xdr:from>
    <xdr:to>
      <xdr:col>12</xdr:col>
      <xdr:colOff>139700</xdr:colOff>
      <xdr:row>75</xdr:row>
      <xdr:rowOff>114300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19"/>
  <sheetViews>
    <sheetView tabSelected="1" zoomScale="125" zoomScaleNormal="125" zoomScalePageLayoutView="125" workbookViewId="0">
      <selection activeCell="F25" sqref="F25"/>
    </sheetView>
  </sheetViews>
  <sheetFormatPr baseColWidth="10" defaultColWidth="8.83203125" defaultRowHeight="13" x14ac:dyDescent="0.15"/>
  <cols>
    <col min="1" max="1" width="12.83203125" customWidth="1"/>
    <col min="2" max="2" width="10.33203125" customWidth="1"/>
    <col min="3" max="3" width="19.5" bestFit="1" customWidth="1"/>
    <col min="4" max="4" width="11.5" bestFit="1" customWidth="1"/>
    <col min="6" max="6" width="12.5" bestFit="1" customWidth="1"/>
    <col min="9" max="9" width="21.33203125" customWidth="1"/>
    <col min="10" max="10" width="20.33203125" bestFit="1" customWidth="1"/>
    <col min="11" max="11" width="13" bestFit="1" customWidth="1"/>
    <col min="12" max="12" width="15.5" bestFit="1" customWidth="1"/>
    <col min="13" max="13" width="11.5" bestFit="1" customWidth="1"/>
    <col min="14" max="14" width="11.1640625" customWidth="1"/>
    <col min="15" max="15" width="15.33203125" customWidth="1"/>
    <col min="16" max="16" width="15.5" customWidth="1"/>
    <col min="17" max="17" width="15.6640625" bestFit="1" customWidth="1"/>
    <col min="18" max="18" width="14.1640625" customWidth="1"/>
    <col min="19" max="19" width="23.1640625" bestFit="1" customWidth="1"/>
    <col min="20" max="20" width="18.5" bestFit="1" customWidth="1"/>
    <col min="21" max="21" width="24.5" customWidth="1"/>
    <col min="22" max="22" width="16.33203125" customWidth="1"/>
    <col min="23" max="23" width="22.1640625" style="212" bestFit="1" customWidth="1"/>
    <col min="24" max="24" width="26.1640625" bestFit="1" customWidth="1"/>
    <col min="25" max="25" width="28.33203125" bestFit="1" customWidth="1"/>
    <col min="26" max="26" width="27.1640625" bestFit="1" customWidth="1"/>
    <col min="27" max="27" width="18.5" bestFit="1" customWidth="1"/>
    <col min="28" max="28" width="25.1640625" bestFit="1" customWidth="1"/>
    <col min="29" max="29" width="20.5" bestFit="1" customWidth="1"/>
    <col min="30" max="30" width="13.83203125" customWidth="1"/>
    <col min="31" max="31" width="12" customWidth="1"/>
    <col min="32" max="32" width="13.83203125" customWidth="1"/>
    <col min="33" max="34" width="12" customWidth="1"/>
    <col min="35" max="35" width="13.83203125" customWidth="1"/>
    <col min="36" max="40" width="12" customWidth="1"/>
    <col min="41" max="45" width="12.5" customWidth="1"/>
    <col min="46" max="47" width="12" customWidth="1"/>
    <col min="48" max="48" width="21.6640625" customWidth="1"/>
    <col min="49" max="49" width="10.5" customWidth="1"/>
  </cols>
  <sheetData>
    <row r="1" spans="1:35" x14ac:dyDescent="0.15">
      <c r="A1" s="291" t="s">
        <v>40</v>
      </c>
      <c r="B1" s="292"/>
      <c r="C1" s="292"/>
      <c r="D1" s="292"/>
      <c r="E1" s="292"/>
      <c r="F1" s="292"/>
      <c r="G1" s="293"/>
    </row>
    <row r="2" spans="1:35" x14ac:dyDescent="0.15">
      <c r="A2" s="294"/>
      <c r="B2" s="295"/>
      <c r="C2" s="295"/>
      <c r="D2" s="295"/>
      <c r="E2" s="295"/>
      <c r="F2" s="295"/>
      <c r="G2" s="296"/>
    </row>
    <row r="3" spans="1:35" x14ac:dyDescent="0.15">
      <c r="A3" s="298" t="s">
        <v>63</v>
      </c>
      <c r="B3" s="299"/>
      <c r="C3" s="299"/>
      <c r="D3" s="299"/>
      <c r="E3" s="299"/>
      <c r="F3" s="299"/>
      <c r="G3" s="300"/>
    </row>
    <row r="4" spans="1:35" ht="14" thickBot="1" x14ac:dyDescent="0.2">
      <c r="A4" s="7"/>
      <c r="B4" s="5"/>
      <c r="C4" s="5"/>
      <c r="D4" s="5"/>
      <c r="E4" s="5"/>
      <c r="F4" s="5"/>
      <c r="G4" s="6"/>
    </row>
    <row r="5" spans="1:35" ht="14" thickBot="1" x14ac:dyDescent="0.2">
      <c r="A5" s="14" t="s">
        <v>0</v>
      </c>
      <c r="B5" s="68" t="s">
        <v>22</v>
      </c>
      <c r="C5" s="5"/>
      <c r="D5" s="5"/>
      <c r="E5" s="5"/>
      <c r="F5" s="5"/>
      <c r="G5" s="6"/>
      <c r="N5" s="272" t="s">
        <v>27</v>
      </c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4"/>
    </row>
    <row r="6" spans="1:35" x14ac:dyDescent="0.15">
      <c r="A6" s="57"/>
      <c r="B6" s="5"/>
      <c r="C6" s="5"/>
      <c r="D6" s="5"/>
      <c r="E6" s="5"/>
      <c r="F6" s="5"/>
      <c r="G6" s="6"/>
      <c r="N6" s="36" t="s">
        <v>37</v>
      </c>
      <c r="O6" s="36" t="s">
        <v>0</v>
      </c>
      <c r="P6" s="37" t="s">
        <v>1</v>
      </c>
      <c r="Q6" s="269" t="s">
        <v>26</v>
      </c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1"/>
      <c r="AG6" s="275" t="s">
        <v>41</v>
      </c>
      <c r="AH6" s="276"/>
      <c r="AI6" s="277"/>
    </row>
    <row r="7" spans="1:35" x14ac:dyDescent="0.15">
      <c r="A7" s="14" t="s">
        <v>1</v>
      </c>
      <c r="B7" s="68">
        <v>6.6</v>
      </c>
      <c r="C7" s="8" t="s">
        <v>25</v>
      </c>
      <c r="D7" s="5"/>
      <c r="E7" s="5"/>
      <c r="F7" s="5"/>
      <c r="G7" s="6"/>
      <c r="N7" s="38"/>
      <c r="O7" s="38"/>
      <c r="P7" s="39"/>
      <c r="Q7" s="20" t="s">
        <v>18</v>
      </c>
      <c r="R7" s="18" t="s">
        <v>49</v>
      </c>
      <c r="S7" s="18" t="s">
        <v>19</v>
      </c>
      <c r="T7" s="18" t="s">
        <v>49</v>
      </c>
      <c r="U7" s="18" t="s">
        <v>20</v>
      </c>
      <c r="V7" s="18" t="s">
        <v>49</v>
      </c>
      <c r="W7" s="18" t="s">
        <v>21</v>
      </c>
      <c r="X7" s="18" t="s">
        <v>49</v>
      </c>
      <c r="Y7" s="18" t="s">
        <v>22</v>
      </c>
      <c r="Z7" s="18" t="s">
        <v>49</v>
      </c>
      <c r="AA7" s="18" t="s">
        <v>23</v>
      </c>
      <c r="AB7" s="18" t="s">
        <v>49</v>
      </c>
      <c r="AC7" s="18" t="s">
        <v>24</v>
      </c>
      <c r="AD7" s="18" t="s">
        <v>49</v>
      </c>
      <c r="AE7" s="18" t="s">
        <v>28</v>
      </c>
      <c r="AF7" s="18" t="s">
        <v>49</v>
      </c>
      <c r="AG7" s="27" t="s">
        <v>42</v>
      </c>
      <c r="AH7" s="1"/>
      <c r="AI7" s="18" t="s">
        <v>49</v>
      </c>
    </row>
    <row r="8" spans="1:35" x14ac:dyDescent="0.15">
      <c r="A8" s="7"/>
      <c r="B8" s="5"/>
      <c r="C8" s="5"/>
      <c r="D8" s="5"/>
      <c r="E8" s="5"/>
      <c r="F8" s="5"/>
      <c r="G8" s="6"/>
      <c r="J8" s="30"/>
      <c r="N8" s="38" t="s">
        <v>38</v>
      </c>
      <c r="O8" s="38" t="s">
        <v>18</v>
      </c>
      <c r="P8" s="39">
        <v>1.5</v>
      </c>
      <c r="Q8" s="21">
        <v>2135</v>
      </c>
      <c r="R8" s="17">
        <f>IF(AND($B$5=$Q$7,$B$7=$P8),Q8,0)</f>
        <v>0</v>
      </c>
      <c r="S8" s="19">
        <v>2354</v>
      </c>
      <c r="T8" s="17">
        <f>IF(AND($B$5=$S$7,$B$7=$P8),S8,0)</f>
        <v>0</v>
      </c>
      <c r="U8" s="19">
        <v>2409</v>
      </c>
      <c r="V8" s="17">
        <f>IF(AND($B$5=$U$7,$B$7=$P8),U8,0)</f>
        <v>0</v>
      </c>
      <c r="W8" s="213">
        <v>2299</v>
      </c>
      <c r="X8" s="17">
        <f t="shared" ref="X8:X14" si="0">IF(AND($B$5=$W$7,$B$7=$P8),W8,0)</f>
        <v>0</v>
      </c>
      <c r="Y8" s="19">
        <v>2299</v>
      </c>
      <c r="Z8" s="17">
        <f>IF(AND($B$5=$Y$7,$B$7=$P8),Y8,0)</f>
        <v>0</v>
      </c>
      <c r="AA8" s="19">
        <v>1916</v>
      </c>
      <c r="AB8" s="17">
        <f>IF(AND($B$5=$AA$7,$B$7=$P8),AA8,0)</f>
        <v>0</v>
      </c>
      <c r="AC8" s="19">
        <v>1971</v>
      </c>
      <c r="AD8" s="17">
        <f>IF(AND($B$5=$AC$7,$B$7=$P8),AC8,0)</f>
        <v>0</v>
      </c>
      <c r="AE8" s="19">
        <v>2409</v>
      </c>
      <c r="AF8" s="42">
        <f>IF(AND($B$5=$AE$7,$B$7=$P8),AE8,0)</f>
        <v>0</v>
      </c>
      <c r="AG8" s="3" t="s">
        <v>18</v>
      </c>
      <c r="AH8" s="25">
        <v>0.08</v>
      </c>
      <c r="AI8" s="44">
        <f>IF($B$5=AG8,AH8,0)</f>
        <v>0</v>
      </c>
    </row>
    <row r="9" spans="1:35" ht="14" thickBot="1" x14ac:dyDescent="0.2">
      <c r="A9" s="282" t="s">
        <v>2</v>
      </c>
      <c r="B9" s="283"/>
      <c r="C9" s="284"/>
      <c r="D9" s="304">
        <v>7000</v>
      </c>
      <c r="E9" s="5"/>
      <c r="F9" s="5"/>
      <c r="G9" s="6"/>
      <c r="N9" s="40" t="s">
        <v>39</v>
      </c>
      <c r="O9" s="38" t="s">
        <v>19</v>
      </c>
      <c r="P9" s="39">
        <v>2</v>
      </c>
      <c r="Q9" s="21">
        <v>2847</v>
      </c>
      <c r="R9" s="17">
        <f t="shared" ref="R9:R12" si="1">IF(AND($B$5=$Q$7,$B$7=P9),Q9,0)</f>
        <v>0</v>
      </c>
      <c r="S9" s="19">
        <v>3139</v>
      </c>
      <c r="T9" s="17">
        <f t="shared" ref="T9:T14" si="2">IF(AND($B$5=$S$7,$B$7=$P9),S9,0)</f>
        <v>0</v>
      </c>
      <c r="U9" s="19">
        <v>3212</v>
      </c>
      <c r="V9" s="17">
        <f t="shared" ref="V9:V14" si="3">IF(AND($B$5=$U$7,$B$7=$P9),U9,0)</f>
        <v>0</v>
      </c>
      <c r="W9" s="213">
        <v>3066</v>
      </c>
      <c r="X9" s="17">
        <f t="shared" si="0"/>
        <v>0</v>
      </c>
      <c r="Y9" s="19">
        <v>3066</v>
      </c>
      <c r="Z9" s="17">
        <f t="shared" ref="Z9:Z14" si="4">IF(AND($B$5=$Y$7,$B$7=$P9),Y9,0)</f>
        <v>0</v>
      </c>
      <c r="AA9" s="19">
        <v>2555</v>
      </c>
      <c r="AB9" s="17">
        <f t="shared" ref="AB9:AB14" si="5">IF(AND($B$5=$AA$7,$B$7=$P9),AA9,0)</f>
        <v>0</v>
      </c>
      <c r="AC9" s="19">
        <v>2628</v>
      </c>
      <c r="AD9" s="17">
        <f t="shared" ref="AD9:AD14" si="6">IF(AND($B$5=$AC$7,$B$7=$P9),AC9,0)</f>
        <v>0</v>
      </c>
      <c r="AE9" s="19">
        <v>3212</v>
      </c>
      <c r="AF9" s="42">
        <f t="shared" ref="AF9:AF14" si="7">IF(AND($B$5=$AE$7,$B$7=$P9),AE9,0)</f>
        <v>0</v>
      </c>
      <c r="AG9" s="3" t="s">
        <v>19</v>
      </c>
      <c r="AH9" s="25">
        <v>0.08</v>
      </c>
      <c r="AI9" s="44">
        <f t="shared" ref="AI9:AI15" si="8">IF($B$5=AG9,AH9,0)</f>
        <v>0</v>
      </c>
    </row>
    <row r="10" spans="1:35" x14ac:dyDescent="0.15">
      <c r="A10" s="282"/>
      <c r="B10" s="283"/>
      <c r="C10" s="284"/>
      <c r="D10" s="305"/>
      <c r="E10" s="5"/>
      <c r="F10" s="5"/>
      <c r="G10" s="6"/>
      <c r="I10" s="105"/>
      <c r="J10" s="106"/>
      <c r="K10" s="106"/>
      <c r="N10" s="34"/>
      <c r="O10" s="38" t="s">
        <v>20</v>
      </c>
      <c r="P10" s="39">
        <v>3</v>
      </c>
      <c r="Q10" s="21">
        <v>4270</v>
      </c>
      <c r="R10" s="17">
        <f t="shared" si="1"/>
        <v>0</v>
      </c>
      <c r="S10" s="19">
        <v>4708</v>
      </c>
      <c r="T10" s="17">
        <f t="shared" si="2"/>
        <v>0</v>
      </c>
      <c r="U10" s="19">
        <v>4818</v>
      </c>
      <c r="V10" s="17">
        <f t="shared" si="3"/>
        <v>0</v>
      </c>
      <c r="W10" s="213">
        <v>4599</v>
      </c>
      <c r="X10" s="17">
        <f t="shared" si="0"/>
        <v>0</v>
      </c>
      <c r="Y10" s="19">
        <v>4599</v>
      </c>
      <c r="Z10" s="17">
        <f t="shared" si="4"/>
        <v>0</v>
      </c>
      <c r="AA10" s="19">
        <v>3832</v>
      </c>
      <c r="AB10" s="17">
        <f t="shared" si="5"/>
        <v>0</v>
      </c>
      <c r="AC10" s="19">
        <v>3942</v>
      </c>
      <c r="AD10" s="17">
        <f t="shared" si="6"/>
        <v>0</v>
      </c>
      <c r="AE10" s="19">
        <v>4818</v>
      </c>
      <c r="AF10" s="42">
        <f t="shared" si="7"/>
        <v>0</v>
      </c>
      <c r="AG10" s="3" t="s">
        <v>20</v>
      </c>
      <c r="AH10" s="25">
        <v>0.2</v>
      </c>
      <c r="AI10" s="44">
        <f t="shared" si="8"/>
        <v>0</v>
      </c>
    </row>
    <row r="11" spans="1:35" x14ac:dyDescent="0.15">
      <c r="A11" s="9"/>
      <c r="B11" s="10"/>
      <c r="C11" s="10"/>
      <c r="D11" s="5"/>
      <c r="E11" s="5"/>
      <c r="F11" s="5"/>
      <c r="G11" s="6"/>
      <c r="J11" s="47"/>
      <c r="N11" s="34"/>
      <c r="O11" s="38" t="s">
        <v>21</v>
      </c>
      <c r="P11" s="39">
        <v>4</v>
      </c>
      <c r="Q11" s="21">
        <v>5694</v>
      </c>
      <c r="R11" s="17">
        <f t="shared" si="1"/>
        <v>0</v>
      </c>
      <c r="S11" s="19">
        <v>6278</v>
      </c>
      <c r="T11" s="17">
        <f t="shared" si="2"/>
        <v>0</v>
      </c>
      <c r="U11" s="19">
        <v>6424</v>
      </c>
      <c r="V11" s="17">
        <f t="shared" si="3"/>
        <v>0</v>
      </c>
      <c r="W11" s="213">
        <v>6132</v>
      </c>
      <c r="X11" s="17">
        <f t="shared" si="0"/>
        <v>0</v>
      </c>
      <c r="Y11" s="19">
        <v>6132</v>
      </c>
      <c r="Z11" s="17">
        <f t="shared" si="4"/>
        <v>0</v>
      </c>
      <c r="AA11" s="19">
        <v>5110</v>
      </c>
      <c r="AB11" s="17">
        <f t="shared" si="5"/>
        <v>0</v>
      </c>
      <c r="AC11" s="19">
        <v>5256</v>
      </c>
      <c r="AD11" s="17">
        <f t="shared" si="6"/>
        <v>0</v>
      </c>
      <c r="AE11" s="19">
        <v>6424</v>
      </c>
      <c r="AF11" s="42">
        <f t="shared" si="7"/>
        <v>0</v>
      </c>
      <c r="AG11" s="3" t="s">
        <v>21</v>
      </c>
      <c r="AH11" s="25">
        <v>0.08</v>
      </c>
      <c r="AI11" s="44">
        <f t="shared" si="8"/>
        <v>0</v>
      </c>
    </row>
    <row r="12" spans="1:35" x14ac:dyDescent="0.15">
      <c r="A12" s="278" t="s">
        <v>3</v>
      </c>
      <c r="B12" s="279"/>
      <c r="C12" s="297"/>
      <c r="D12" s="329">
        <f>IF(B7&gt;0,SUM(R19,T19,V19,X19,Z19,AB19,AD19,AF19),"")</f>
        <v>10117.800000000001</v>
      </c>
      <c r="E12" s="8" t="s">
        <v>7</v>
      </c>
      <c r="F12" s="5"/>
      <c r="G12" s="6"/>
      <c r="J12" s="47"/>
      <c r="N12" s="34"/>
      <c r="O12" s="38" t="s">
        <v>22</v>
      </c>
      <c r="P12" s="39">
        <v>5</v>
      </c>
      <c r="Q12" s="21">
        <v>7117</v>
      </c>
      <c r="R12" s="17">
        <f t="shared" si="1"/>
        <v>0</v>
      </c>
      <c r="S12" s="19">
        <v>7847</v>
      </c>
      <c r="T12" s="17">
        <f t="shared" si="2"/>
        <v>0</v>
      </c>
      <c r="U12" s="19">
        <v>8030</v>
      </c>
      <c r="V12" s="17">
        <f t="shared" si="3"/>
        <v>0</v>
      </c>
      <c r="W12" s="213">
        <v>7665</v>
      </c>
      <c r="X12" s="17">
        <f t="shared" si="0"/>
        <v>0</v>
      </c>
      <c r="Y12" s="19">
        <v>7665</v>
      </c>
      <c r="Z12" s="17">
        <f t="shared" si="4"/>
        <v>0</v>
      </c>
      <c r="AA12" s="19">
        <v>6387</v>
      </c>
      <c r="AB12" s="17">
        <f t="shared" si="5"/>
        <v>0</v>
      </c>
      <c r="AC12" s="19">
        <v>6570</v>
      </c>
      <c r="AD12" s="17">
        <f t="shared" si="6"/>
        <v>0</v>
      </c>
      <c r="AE12" s="19">
        <v>8030</v>
      </c>
      <c r="AF12" s="42">
        <f t="shared" si="7"/>
        <v>0</v>
      </c>
      <c r="AG12" s="3" t="s">
        <v>22</v>
      </c>
      <c r="AH12" s="25">
        <v>0.1</v>
      </c>
      <c r="AI12" s="44">
        <f t="shared" si="8"/>
        <v>0.1</v>
      </c>
    </row>
    <row r="13" spans="1:35" x14ac:dyDescent="0.15">
      <c r="A13" s="7"/>
      <c r="B13" s="5"/>
      <c r="C13" s="5"/>
      <c r="D13" s="5"/>
      <c r="E13" s="5"/>
      <c r="F13" s="5"/>
      <c r="G13" s="6"/>
      <c r="J13" s="106"/>
      <c r="K13" s="28"/>
      <c r="N13" s="34"/>
      <c r="O13" s="38" t="s">
        <v>23</v>
      </c>
      <c r="P13" s="39">
        <v>6</v>
      </c>
      <c r="Q13" s="21">
        <v>8541</v>
      </c>
      <c r="R13" s="17">
        <f>IF(AND($B$5=$Q$7,$B$7=P13),Q13,0)</f>
        <v>0</v>
      </c>
      <c r="S13" s="19">
        <v>9417</v>
      </c>
      <c r="T13" s="17">
        <f t="shared" si="2"/>
        <v>0</v>
      </c>
      <c r="U13" s="19">
        <v>9636</v>
      </c>
      <c r="V13" s="17">
        <f t="shared" si="3"/>
        <v>0</v>
      </c>
      <c r="W13" s="213">
        <v>9198</v>
      </c>
      <c r="X13" s="17">
        <f t="shared" si="0"/>
        <v>0</v>
      </c>
      <c r="Y13" s="19">
        <v>9198</v>
      </c>
      <c r="Z13" s="17">
        <f t="shared" si="4"/>
        <v>0</v>
      </c>
      <c r="AA13" s="19">
        <v>7665</v>
      </c>
      <c r="AB13" s="17">
        <f t="shared" si="5"/>
        <v>0</v>
      </c>
      <c r="AC13" s="19">
        <v>7884</v>
      </c>
      <c r="AD13" s="17">
        <f t="shared" si="6"/>
        <v>0</v>
      </c>
      <c r="AE13" s="19">
        <v>9636</v>
      </c>
      <c r="AF13" s="42">
        <f t="shared" si="7"/>
        <v>0</v>
      </c>
      <c r="AG13" s="3" t="s">
        <v>23</v>
      </c>
      <c r="AH13" s="25">
        <v>0.08</v>
      </c>
      <c r="AI13" s="44">
        <f t="shared" si="8"/>
        <v>0</v>
      </c>
    </row>
    <row r="14" spans="1:35" x14ac:dyDescent="0.15">
      <c r="A14" s="282" t="s">
        <v>4</v>
      </c>
      <c r="B14" s="284"/>
      <c r="C14" s="285">
        <v>0.36</v>
      </c>
      <c r="D14" s="5"/>
      <c r="E14" s="5"/>
      <c r="F14" s="5"/>
      <c r="G14" s="6"/>
      <c r="J14" s="28"/>
      <c r="K14" s="28"/>
      <c r="N14" s="34"/>
      <c r="O14" s="38" t="s">
        <v>24</v>
      </c>
      <c r="P14" s="327">
        <v>6.6</v>
      </c>
      <c r="Q14">
        <v>9394</v>
      </c>
      <c r="R14" s="17">
        <f>IF(AND($B$5=$Q$7,$B$7=P14),Q14,0)</f>
        <v>0</v>
      </c>
      <c r="S14" s="328">
        <f>S10*2.2</f>
        <v>10357.6</v>
      </c>
      <c r="T14" s="17">
        <f t="shared" si="2"/>
        <v>0</v>
      </c>
      <c r="U14" s="328">
        <f>U10*2.2</f>
        <v>10599.6</v>
      </c>
      <c r="V14" s="17">
        <f t="shared" si="3"/>
        <v>0</v>
      </c>
      <c r="W14" s="328">
        <f>W10*2.2</f>
        <v>10117.800000000001</v>
      </c>
      <c r="X14" s="17">
        <f t="shared" si="0"/>
        <v>0</v>
      </c>
      <c r="Y14" s="328">
        <f>Y10*2.2</f>
        <v>10117.800000000001</v>
      </c>
      <c r="Z14" s="17">
        <f t="shared" si="4"/>
        <v>10117.800000000001</v>
      </c>
      <c r="AA14" s="328">
        <f>AA10*2.2</f>
        <v>8430.4000000000015</v>
      </c>
      <c r="AB14" s="17">
        <f t="shared" si="5"/>
        <v>0</v>
      </c>
      <c r="AC14" s="328">
        <f>AC10*2.2</f>
        <v>8672.4000000000015</v>
      </c>
      <c r="AD14" s="17">
        <f t="shared" si="6"/>
        <v>0</v>
      </c>
      <c r="AE14" s="328">
        <f>AE10*2.2</f>
        <v>10599.6</v>
      </c>
      <c r="AF14" s="42">
        <f t="shared" si="7"/>
        <v>0</v>
      </c>
      <c r="AG14" s="3" t="s">
        <v>24</v>
      </c>
      <c r="AH14" s="25">
        <v>0.08</v>
      </c>
      <c r="AI14" s="44">
        <f t="shared" si="8"/>
        <v>0</v>
      </c>
    </row>
    <row r="15" spans="1:35" ht="14" thickBot="1" x14ac:dyDescent="0.2">
      <c r="A15" s="282"/>
      <c r="B15" s="284"/>
      <c r="C15" s="286"/>
      <c r="D15" s="8"/>
      <c r="E15" s="5"/>
      <c r="F15" s="5"/>
      <c r="G15" s="6"/>
      <c r="N15" s="34"/>
      <c r="O15" s="40" t="s">
        <v>28</v>
      </c>
      <c r="P15" s="39">
        <v>7</v>
      </c>
      <c r="Q15" s="21">
        <v>9964</v>
      </c>
      <c r="R15" s="17">
        <f>IF(AND($B$5=$Q$7,$B$7=P15),Q15,0)</f>
        <v>0</v>
      </c>
      <c r="S15" s="19">
        <v>10986</v>
      </c>
      <c r="T15" s="17">
        <f>IF(AND($B$5=$S$7,$B$7=$P15),S15,0)</f>
        <v>0</v>
      </c>
      <c r="U15" s="19">
        <v>11242</v>
      </c>
      <c r="V15" s="17">
        <f>IF(AND($B$5=$U$7,$B$7=$P15),U15,0)</f>
        <v>0</v>
      </c>
      <c r="W15" s="213">
        <v>10731</v>
      </c>
      <c r="X15" s="17">
        <f>IF(AND($B$5=$W$7,$B$7=$P15),W15,0)</f>
        <v>0</v>
      </c>
      <c r="Y15" s="19">
        <v>10731</v>
      </c>
      <c r="Z15" s="17">
        <f>IF(AND($B$5=$Y$7,$B$7=$P15),Y15,0)</f>
        <v>0</v>
      </c>
      <c r="AA15" s="19">
        <v>8942</v>
      </c>
      <c r="AB15" s="17">
        <f>IF(AND($B$5=$AA$7,$B$7=$P15),AA15,0)</f>
        <v>0</v>
      </c>
      <c r="AC15" s="19">
        <v>9198</v>
      </c>
      <c r="AD15" s="17">
        <f>IF(AND($B$5=$AC$7,$B$7=$P15),AC15,0)</f>
        <v>0</v>
      </c>
      <c r="AE15" s="19">
        <v>11242</v>
      </c>
      <c r="AF15" s="42">
        <f>IF(AND($B$5=$AE$7,$B$7=$P15),AE15,0)</f>
        <v>0</v>
      </c>
      <c r="AG15" s="4" t="s">
        <v>28</v>
      </c>
      <c r="AH15" s="26">
        <v>0.08</v>
      </c>
      <c r="AI15" s="45">
        <f t="shared" si="8"/>
        <v>0</v>
      </c>
    </row>
    <row r="16" spans="1:35" x14ac:dyDescent="0.15">
      <c r="A16" s="7"/>
      <c r="B16" s="5"/>
      <c r="C16" s="5"/>
      <c r="D16" s="5"/>
      <c r="E16" s="5"/>
      <c r="F16" s="5"/>
      <c r="G16" s="6"/>
      <c r="J16" s="28"/>
      <c r="K16" s="94"/>
      <c r="M16" s="85"/>
      <c r="N16" s="34"/>
      <c r="O16" s="34"/>
      <c r="P16" s="39">
        <v>8</v>
      </c>
      <c r="Q16" s="21">
        <v>11388</v>
      </c>
      <c r="R16" s="17">
        <f>IF(AND($B$5=$Q$7,$B$7=P16),Q16,0)</f>
        <v>0</v>
      </c>
      <c r="S16" s="19">
        <v>12556</v>
      </c>
      <c r="T16" s="17">
        <f>IF(AND($B$5=$S$7,$B$7=$P16),S16,0)</f>
        <v>0</v>
      </c>
      <c r="U16" s="19">
        <v>12848</v>
      </c>
      <c r="V16" s="17">
        <f>IF(AND($B$5=$U$7,$B$7=$P16),U16,0)</f>
        <v>0</v>
      </c>
      <c r="W16" s="213">
        <v>12264</v>
      </c>
      <c r="X16" s="17">
        <f>IF(AND($B$5=$W$7,$B$7=$P16),W16,0)</f>
        <v>0</v>
      </c>
      <c r="Y16" s="19">
        <v>12264</v>
      </c>
      <c r="Z16" s="17">
        <f>IF(AND($B$5=$Y$7,$B$7=$P16),Y16,0)</f>
        <v>0</v>
      </c>
      <c r="AA16" s="19">
        <v>10220</v>
      </c>
      <c r="AB16" s="17">
        <f>IF(AND($B$5=$AA$7,$B$7=$P16),AA16,0)</f>
        <v>0</v>
      </c>
      <c r="AC16" s="19">
        <v>10512</v>
      </c>
      <c r="AD16" s="17">
        <f>IF(AND($B$5=$AC$7,$B$7=$P16),AC16,0)</f>
        <v>0</v>
      </c>
      <c r="AE16" s="19">
        <v>12848</v>
      </c>
      <c r="AF16" s="42">
        <f>IF(AND($B$5=$AE$7,$B$7=$P16),AE16,0)</f>
        <v>0</v>
      </c>
    </row>
    <row r="17" spans="1:32" x14ac:dyDescent="0.15">
      <c r="A17" s="278" t="s">
        <v>5</v>
      </c>
      <c r="B17" s="297"/>
      <c r="C17" s="68">
        <v>25</v>
      </c>
      <c r="D17" s="8" t="s">
        <v>6</v>
      </c>
      <c r="E17" s="5"/>
      <c r="F17" s="5"/>
      <c r="G17" s="6"/>
      <c r="K17" s="95"/>
      <c r="N17" s="34"/>
      <c r="O17" s="34"/>
      <c r="P17" s="39">
        <v>9</v>
      </c>
      <c r="Q17" s="21">
        <v>12811</v>
      </c>
      <c r="R17" s="17">
        <f>IF(AND($B$5=$Q$7,$B$7=P17),Q17,0)</f>
        <v>0</v>
      </c>
      <c r="S17" s="19">
        <v>14125</v>
      </c>
      <c r="T17" s="17">
        <f>IF(AND($B$5=$S$7,$B$7=$P17),S17,0)</f>
        <v>0</v>
      </c>
      <c r="U17" s="19">
        <v>14454</v>
      </c>
      <c r="V17" s="17">
        <f>IF(AND($B$5=$U$7,$B$7=$P17),U17,0)</f>
        <v>0</v>
      </c>
      <c r="W17" s="213">
        <v>13797</v>
      </c>
      <c r="X17" s="17">
        <f>IF(AND($B$5=$W$7,$B$7=$P17),W17,0)</f>
        <v>0</v>
      </c>
      <c r="Y17" s="19">
        <v>13797</v>
      </c>
      <c r="Z17" s="17">
        <f>IF(AND($B$5=$Y$7,$B$7=$P17),Y17,0)</f>
        <v>0</v>
      </c>
      <c r="AA17" s="19">
        <v>11497</v>
      </c>
      <c r="AB17" s="17">
        <f>IF(AND($B$5=$AA$7,$B$7=$P17),AA17,0)</f>
        <v>0</v>
      </c>
      <c r="AC17" s="19">
        <v>11826</v>
      </c>
      <c r="AD17" s="17">
        <f>IF(AND($B$5=$AC$7,$B$7=$P17),AC17,0)</f>
        <v>0</v>
      </c>
      <c r="AE17" s="19">
        <v>14454</v>
      </c>
      <c r="AF17" s="42">
        <f>IF(AND($B$5=$AE$7,$B$7=$P17),AE17,0)</f>
        <v>0</v>
      </c>
    </row>
    <row r="18" spans="1:32" ht="14" thickBot="1" x14ac:dyDescent="0.2">
      <c r="A18" s="7"/>
      <c r="B18" s="5"/>
      <c r="C18" s="5"/>
      <c r="D18" s="5"/>
      <c r="E18" s="5"/>
      <c r="F18" s="5"/>
      <c r="G18" s="6"/>
      <c r="P18" s="41">
        <v>10</v>
      </c>
      <c r="Q18" s="22">
        <v>14235</v>
      </c>
      <c r="R18" s="35">
        <f>IF(AND($B$5=$Q$7,$B$7=P18),Q18,0)</f>
        <v>0</v>
      </c>
      <c r="S18" s="23">
        <v>15695</v>
      </c>
      <c r="T18" s="35">
        <f>IF(AND($B$5=$S$7,$B$7=$P18),S18,0)</f>
        <v>0</v>
      </c>
      <c r="U18" s="23">
        <v>16060</v>
      </c>
      <c r="V18" s="35">
        <f>IF(AND($B$5=$U$7,$B$7=$P18),U18,0)</f>
        <v>0</v>
      </c>
      <c r="W18" s="214">
        <v>15330</v>
      </c>
      <c r="X18" s="35">
        <f>IF(AND($B$5=$W$7,$B$7=$P18),W18,0)</f>
        <v>0</v>
      </c>
      <c r="Y18" s="23">
        <v>15330</v>
      </c>
      <c r="Z18" s="35">
        <f>IF(AND($B$5=$Y$7,$B$7=$P18),Y18,0)</f>
        <v>0</v>
      </c>
      <c r="AA18" s="23">
        <v>12775</v>
      </c>
      <c r="AB18" s="35">
        <f>IF(AND($B$5=$AA$7,$B$7=$P18),AA18,0)</f>
        <v>0</v>
      </c>
      <c r="AC18" s="23">
        <v>13140</v>
      </c>
      <c r="AD18" s="35">
        <f>IF(AND($B$5=$AC$7,$B$7=$P18),AC18,0)</f>
        <v>0</v>
      </c>
      <c r="AE18" s="23">
        <v>16060</v>
      </c>
      <c r="AF18" s="43">
        <f>IF(AND($B$5=$AE$7,$B$7=$P18),AE18,0)</f>
        <v>0</v>
      </c>
    </row>
    <row r="19" spans="1:32" ht="14" thickBot="1" x14ac:dyDescent="0.2">
      <c r="A19" s="7"/>
      <c r="B19" s="5"/>
      <c r="C19" s="5"/>
      <c r="D19" s="5"/>
      <c r="E19" s="5"/>
      <c r="F19" s="5"/>
      <c r="G19" s="6"/>
      <c r="N19" s="93"/>
      <c r="P19" s="2"/>
      <c r="R19" s="46">
        <f>SUM(R8:R18)</f>
        <v>0</v>
      </c>
      <c r="T19" s="46">
        <f>SUM(T8:T18)</f>
        <v>0</v>
      </c>
      <c r="V19" s="46">
        <f>SUM(V8:V18)</f>
        <v>0</v>
      </c>
      <c r="X19" s="46">
        <f>SUM(X8:X18)</f>
        <v>0</v>
      </c>
      <c r="Z19" s="46">
        <f>SUM(Z8:Z18)</f>
        <v>10117.800000000001</v>
      </c>
      <c r="AB19" s="46">
        <f>SUM(AB8:AB18)</f>
        <v>0</v>
      </c>
      <c r="AD19" s="46">
        <f>SUM(AD8:AD18)</f>
        <v>0</v>
      </c>
      <c r="AF19" s="46">
        <f>SUM(AF8:AF18)</f>
        <v>0</v>
      </c>
    </row>
    <row r="20" spans="1:32" ht="17" thickBot="1" x14ac:dyDescent="0.25">
      <c r="A20" s="301" t="s">
        <v>8</v>
      </c>
      <c r="B20" s="302"/>
      <c r="C20" s="302"/>
      <c r="D20" s="302"/>
      <c r="E20" s="302"/>
      <c r="F20" s="302"/>
      <c r="G20" s="303"/>
      <c r="K20" s="88"/>
      <c r="P20" s="79"/>
      <c r="S20" s="28"/>
    </row>
    <row r="21" spans="1:32" x14ac:dyDescent="0.15">
      <c r="A21" s="7"/>
      <c r="B21" s="5"/>
      <c r="C21" s="5"/>
      <c r="D21" s="5"/>
      <c r="E21" s="5"/>
      <c r="F21" s="5"/>
      <c r="G21" s="6"/>
      <c r="J21" s="32"/>
      <c r="K21" s="95"/>
      <c r="L21" s="87"/>
      <c r="P21" s="79"/>
      <c r="S21" s="28"/>
      <c r="T21" s="89"/>
      <c r="U21" s="96"/>
      <c r="X21" s="100"/>
      <c r="Y21" s="97"/>
    </row>
    <row r="22" spans="1:32" x14ac:dyDescent="0.15">
      <c r="A22" s="278" t="s">
        <v>9</v>
      </c>
      <c r="B22" s="297"/>
      <c r="C22" s="69">
        <v>7.0000000000000007E-2</v>
      </c>
      <c r="D22" s="8" t="s">
        <v>30</v>
      </c>
      <c r="E22" s="5"/>
      <c r="F22" s="5"/>
      <c r="G22" s="6"/>
      <c r="J22" s="33"/>
      <c r="S22" s="28"/>
      <c r="T22" s="98"/>
      <c r="U22" s="96"/>
      <c r="V22" s="89"/>
      <c r="X22" s="100"/>
      <c r="Y22" s="101"/>
      <c r="Z22" s="102"/>
    </row>
    <row r="23" spans="1:32" x14ac:dyDescent="0.15">
      <c r="A23" s="7"/>
      <c r="B23" s="5"/>
      <c r="C23" s="54"/>
      <c r="D23" s="5"/>
      <c r="E23" s="5"/>
      <c r="F23" s="5"/>
      <c r="G23" s="6"/>
      <c r="J23" s="47"/>
      <c r="K23" s="28"/>
      <c r="L23" s="110"/>
      <c r="N23" s="34"/>
      <c r="O23" s="34"/>
      <c r="P23" s="34"/>
      <c r="S23" s="87"/>
      <c r="Y23" s="99"/>
    </row>
    <row r="24" spans="1:32" ht="13" customHeight="1" x14ac:dyDescent="0.15">
      <c r="A24" s="278" t="s">
        <v>10</v>
      </c>
      <c r="B24" s="297"/>
      <c r="C24" s="70">
        <v>0.9</v>
      </c>
      <c r="D24" s="8" t="s">
        <v>31</v>
      </c>
      <c r="E24" s="5"/>
      <c r="F24" s="5"/>
      <c r="G24" s="6"/>
      <c r="J24" s="47"/>
      <c r="K24" s="109"/>
    </row>
    <row r="25" spans="1:32" x14ac:dyDescent="0.15">
      <c r="A25" s="7"/>
      <c r="B25" s="5"/>
      <c r="C25" s="54"/>
      <c r="D25" s="5"/>
      <c r="E25" s="5"/>
      <c r="F25" s="5"/>
      <c r="G25" s="6"/>
      <c r="J25" s="33"/>
    </row>
    <row r="26" spans="1:32" x14ac:dyDescent="0.15">
      <c r="A26" s="278" t="s">
        <v>11</v>
      </c>
      <c r="B26" s="297"/>
      <c r="C26" s="55">
        <v>0.16</v>
      </c>
      <c r="D26" s="8" t="s">
        <v>34</v>
      </c>
      <c r="E26" s="5"/>
      <c r="F26" s="5"/>
      <c r="G26" s="6"/>
      <c r="L26" s="87"/>
    </row>
    <row r="27" spans="1:32" x14ac:dyDescent="0.15">
      <c r="A27" s="103"/>
      <c r="B27" s="104"/>
      <c r="C27" s="107"/>
      <c r="D27" s="8"/>
      <c r="E27" s="5"/>
      <c r="F27" s="5"/>
      <c r="G27" s="6"/>
      <c r="L27" s="87"/>
    </row>
    <row r="28" spans="1:32" x14ac:dyDescent="0.15">
      <c r="A28" s="7"/>
      <c r="B28" s="5"/>
      <c r="C28" s="54"/>
      <c r="D28" s="5"/>
      <c r="E28" s="5"/>
      <c r="F28" s="5"/>
      <c r="G28" s="6"/>
      <c r="L28" s="87"/>
    </row>
    <row r="29" spans="1:32" x14ac:dyDescent="0.15">
      <c r="A29" s="278" t="s">
        <v>12</v>
      </c>
      <c r="B29" s="297"/>
      <c r="C29" s="53">
        <v>30</v>
      </c>
      <c r="D29" s="8" t="s">
        <v>6</v>
      </c>
      <c r="E29" s="5"/>
      <c r="F29" s="5"/>
      <c r="G29" s="6"/>
      <c r="J29" s="56"/>
      <c r="L29" s="87"/>
    </row>
    <row r="30" spans="1:32" x14ac:dyDescent="0.15">
      <c r="A30" s="7"/>
      <c r="B30" s="5"/>
      <c r="C30" s="5"/>
      <c r="D30" s="5"/>
      <c r="E30" s="5"/>
      <c r="F30" s="5"/>
      <c r="G30" s="6"/>
      <c r="J30" s="56"/>
      <c r="K30" s="28"/>
      <c r="L30" s="87"/>
    </row>
    <row r="31" spans="1:32" x14ac:dyDescent="0.15">
      <c r="A31" s="7"/>
      <c r="B31" s="15" t="s">
        <v>36</v>
      </c>
      <c r="C31" s="5"/>
      <c r="D31" s="5"/>
      <c r="E31" s="5"/>
      <c r="F31" s="5"/>
      <c r="G31" s="6"/>
      <c r="K31" s="28"/>
      <c r="L31" s="87"/>
    </row>
    <row r="32" spans="1:32" x14ac:dyDescent="0.15">
      <c r="A32" s="14" t="s">
        <v>32</v>
      </c>
      <c r="B32" s="72" t="s">
        <v>39</v>
      </c>
      <c r="C32" s="16" t="s">
        <v>35</v>
      </c>
      <c r="D32" s="71">
        <v>0.1</v>
      </c>
      <c r="E32" s="280" t="s">
        <v>34</v>
      </c>
      <c r="F32" s="287"/>
      <c r="G32" s="6"/>
      <c r="K32" s="108"/>
      <c r="L32" s="87"/>
    </row>
    <row r="33" spans="1:50" x14ac:dyDescent="0.15">
      <c r="A33" s="7"/>
      <c r="B33" s="5"/>
      <c r="C33" s="5"/>
      <c r="D33" s="5"/>
      <c r="E33" s="5"/>
      <c r="F33" s="5"/>
      <c r="G33" s="6"/>
      <c r="I33" s="248"/>
      <c r="K33" s="28"/>
      <c r="L33" s="87"/>
    </row>
    <row r="34" spans="1:50" x14ac:dyDescent="0.15">
      <c r="A34" s="278" t="s">
        <v>93</v>
      </c>
      <c r="B34" s="297"/>
      <c r="C34" s="253">
        <v>3.0000000000000001E-3</v>
      </c>
      <c r="D34" s="5"/>
      <c r="E34" s="5"/>
      <c r="F34" s="5"/>
      <c r="G34" s="6"/>
      <c r="K34" s="28"/>
      <c r="L34" s="87"/>
    </row>
    <row r="35" spans="1:50" x14ac:dyDescent="0.15">
      <c r="A35" s="7"/>
      <c r="B35" s="5"/>
      <c r="C35" s="5"/>
      <c r="D35" s="5"/>
      <c r="E35" s="5"/>
      <c r="F35" s="5"/>
      <c r="G35" s="6"/>
      <c r="L35" s="87"/>
    </row>
    <row r="36" spans="1:50" ht="13" customHeight="1" x14ac:dyDescent="0.15">
      <c r="A36" s="282" t="s">
        <v>14</v>
      </c>
      <c r="B36" s="283"/>
      <c r="C36" s="284"/>
      <c r="D36" s="74" t="s">
        <v>38</v>
      </c>
      <c r="E36" s="5"/>
      <c r="F36" s="5"/>
      <c r="G36" s="6"/>
      <c r="L36" s="87"/>
    </row>
    <row r="37" spans="1:50" x14ac:dyDescent="0.15">
      <c r="A37" s="48"/>
      <c r="B37" s="49"/>
      <c r="C37" s="2"/>
      <c r="D37" s="50"/>
      <c r="E37" s="5"/>
      <c r="F37" s="5"/>
      <c r="G37" s="6"/>
      <c r="L37" s="87"/>
    </row>
    <row r="38" spans="1:50" x14ac:dyDescent="0.15">
      <c r="A38" s="14" t="s">
        <v>15</v>
      </c>
      <c r="B38" s="71">
        <v>800</v>
      </c>
      <c r="C38" s="15" t="s">
        <v>33</v>
      </c>
      <c r="D38" s="68">
        <v>15</v>
      </c>
      <c r="E38" s="8" t="s">
        <v>6</v>
      </c>
      <c r="F38" s="5"/>
      <c r="G38" s="6"/>
      <c r="I38" s="87"/>
      <c r="L38" s="87"/>
    </row>
    <row r="39" spans="1:50" x14ac:dyDescent="0.15">
      <c r="A39" s="14"/>
      <c r="B39" s="51"/>
      <c r="C39" s="15"/>
      <c r="D39" s="5"/>
      <c r="E39" s="8"/>
      <c r="F39" s="5"/>
      <c r="G39" s="6"/>
      <c r="L39" s="87"/>
    </row>
    <row r="40" spans="1:50" x14ac:dyDescent="0.15">
      <c r="A40" s="7"/>
      <c r="B40" s="5"/>
      <c r="C40" s="5"/>
      <c r="D40" s="5"/>
      <c r="E40" s="5"/>
      <c r="F40" s="5"/>
      <c r="G40" s="6"/>
      <c r="L40" s="87"/>
    </row>
    <row r="41" spans="1:50" x14ac:dyDescent="0.15">
      <c r="A41" s="278" t="s">
        <v>16</v>
      </c>
      <c r="B41" s="297"/>
      <c r="C41" s="68" t="s">
        <v>39</v>
      </c>
      <c r="D41" s="5"/>
      <c r="E41" s="70">
        <v>0.03</v>
      </c>
      <c r="F41" s="280" t="s">
        <v>17</v>
      </c>
      <c r="G41" s="281"/>
      <c r="K41" s="85"/>
    </row>
    <row r="42" spans="1:50" x14ac:dyDescent="0.15">
      <c r="A42" s="7"/>
      <c r="B42" s="5"/>
      <c r="C42" s="5"/>
      <c r="D42" s="5"/>
      <c r="E42" s="5"/>
      <c r="F42" s="5"/>
      <c r="G42" s="6"/>
    </row>
    <row r="43" spans="1:50" x14ac:dyDescent="0.15">
      <c r="A43" s="7"/>
      <c r="B43" s="5"/>
      <c r="C43" s="5"/>
      <c r="D43" s="5"/>
      <c r="E43" s="2"/>
      <c r="F43" s="5"/>
      <c r="G43" s="6"/>
    </row>
    <row r="44" spans="1:50" ht="14" thickBot="1" x14ac:dyDescent="0.2">
      <c r="A44" s="11"/>
      <c r="B44" s="12"/>
      <c r="C44" s="12"/>
      <c r="D44" s="12"/>
      <c r="E44" s="12"/>
      <c r="F44" s="12"/>
      <c r="G44" s="13"/>
    </row>
    <row r="45" spans="1:50" ht="14" thickBot="1" x14ac:dyDescent="0.2">
      <c r="N45" s="128"/>
      <c r="O45" s="129"/>
      <c r="P45" s="79"/>
      <c r="Q45" s="130"/>
      <c r="R45" s="79"/>
      <c r="S45" s="79"/>
      <c r="T45" s="79"/>
      <c r="U45" s="79"/>
      <c r="V45" s="79"/>
      <c r="W45" s="215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</row>
    <row r="46" spans="1:50" x14ac:dyDescent="0.15">
      <c r="A46" s="59"/>
      <c r="B46" s="60"/>
      <c r="C46" s="60"/>
      <c r="D46" s="60"/>
      <c r="E46" s="60"/>
      <c r="F46" s="60"/>
      <c r="G46" s="60"/>
      <c r="H46" s="61"/>
      <c r="J46" s="31"/>
      <c r="N46" s="128"/>
      <c r="O46" s="79"/>
      <c r="P46" s="140"/>
      <c r="Q46" s="140"/>
      <c r="R46" s="131"/>
      <c r="S46" s="131"/>
      <c r="T46" s="131"/>
      <c r="U46" s="131"/>
      <c r="V46" s="131"/>
      <c r="W46" s="216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79"/>
      <c r="AW46" s="79"/>
      <c r="AX46" s="79"/>
    </row>
    <row r="47" spans="1:50" x14ac:dyDescent="0.15">
      <c r="A47" s="278" t="s">
        <v>43</v>
      </c>
      <c r="B47" s="279"/>
      <c r="C47" s="279"/>
      <c r="D47" s="279"/>
      <c r="E47" s="279"/>
      <c r="F47" s="29">
        <f>IF(D36="Yes",SUM(B38+D9),D9)</f>
        <v>7800</v>
      </c>
      <c r="G47" s="5"/>
      <c r="H47" s="6"/>
      <c r="K47" s="91"/>
      <c r="N47" s="128"/>
      <c r="O47" s="79"/>
      <c r="P47" s="140"/>
      <c r="Q47" s="140"/>
      <c r="R47" s="132"/>
      <c r="S47" s="133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79"/>
      <c r="AW47" s="79"/>
      <c r="AX47" s="79"/>
    </row>
    <row r="48" spans="1:50" x14ac:dyDescent="0.15">
      <c r="A48" s="7"/>
      <c r="B48" s="5"/>
      <c r="C48" s="5"/>
      <c r="D48" s="5"/>
      <c r="E48" s="5"/>
      <c r="F48" s="2"/>
      <c r="G48" s="5"/>
      <c r="H48" s="6"/>
      <c r="K48" s="66"/>
      <c r="M48" s="28"/>
      <c r="N48" s="128"/>
      <c r="O48" s="140"/>
      <c r="P48" s="140"/>
      <c r="Q48" s="140"/>
      <c r="R48" s="79"/>
      <c r="S48" s="79"/>
      <c r="T48" s="79"/>
      <c r="U48" s="79"/>
      <c r="V48" s="79"/>
      <c r="W48" s="215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</row>
    <row r="49" spans="1:50" x14ac:dyDescent="0.15">
      <c r="A49" s="278" t="s">
        <v>44</v>
      </c>
      <c r="B49" s="279"/>
      <c r="C49" s="279"/>
      <c r="D49" s="279"/>
      <c r="E49" s="279"/>
      <c r="F49" s="24">
        <f>R612</f>
        <v>57176.221211023527</v>
      </c>
      <c r="G49" s="5"/>
      <c r="H49" s="6"/>
      <c r="K49" s="66"/>
      <c r="N49" s="128"/>
      <c r="O49" s="79"/>
      <c r="P49" s="141"/>
      <c r="Q49" s="141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79"/>
      <c r="AW49" s="79"/>
      <c r="AX49" s="79"/>
    </row>
    <row r="50" spans="1:50" x14ac:dyDescent="0.15">
      <c r="A50" s="7"/>
      <c r="B50" s="5"/>
      <c r="C50" s="5"/>
      <c r="D50" s="5"/>
      <c r="E50" s="5"/>
      <c r="F50" s="2"/>
      <c r="G50" s="5"/>
      <c r="H50" s="6"/>
      <c r="K50" s="47"/>
      <c r="L50" s="30"/>
      <c r="N50" s="128"/>
      <c r="O50" s="79"/>
      <c r="P50" s="79"/>
      <c r="Q50" s="130"/>
      <c r="R50" s="135"/>
      <c r="S50" s="135"/>
      <c r="T50" s="135"/>
      <c r="U50" s="135"/>
      <c r="V50" s="135"/>
      <c r="W50" s="217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79"/>
      <c r="AW50" s="79"/>
      <c r="AX50" s="79"/>
    </row>
    <row r="51" spans="1:50" x14ac:dyDescent="0.15">
      <c r="A51" s="278" t="str">
        <f>+IF(F51&gt;0,"Net Savings:","Net Cost")</f>
        <v>Net Savings:</v>
      </c>
      <c r="B51" s="279"/>
      <c r="C51" s="279"/>
      <c r="D51" s="279"/>
      <c r="E51" s="279"/>
      <c r="F51" s="29">
        <f>F49-F47</f>
        <v>49376.221211023527</v>
      </c>
      <c r="G51" s="5"/>
      <c r="H51" s="6"/>
      <c r="K51" s="47"/>
      <c r="L51" s="28"/>
      <c r="M51" s="28"/>
      <c r="N51" s="128"/>
      <c r="O51" s="136"/>
      <c r="P51" s="140"/>
      <c r="Q51" s="140"/>
      <c r="R51" s="137"/>
      <c r="S51" s="137"/>
      <c r="T51" s="137"/>
      <c r="U51" s="137"/>
      <c r="V51" s="137"/>
      <c r="W51" s="137"/>
      <c r="X51" s="137"/>
      <c r="Y51" s="137"/>
      <c r="Z51" s="258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79"/>
      <c r="AW51" s="79"/>
      <c r="AX51" s="79"/>
    </row>
    <row r="52" spans="1:50" x14ac:dyDescent="0.15">
      <c r="A52" s="7"/>
      <c r="B52" s="5"/>
      <c r="C52" s="5"/>
      <c r="D52" s="5"/>
      <c r="E52" s="5"/>
      <c r="F52" s="2"/>
      <c r="G52" s="5"/>
      <c r="H52" s="6"/>
      <c r="K52" s="34"/>
      <c r="L52" s="28"/>
      <c r="M52" s="28"/>
      <c r="N52" s="128"/>
      <c r="O52" s="79"/>
      <c r="P52" s="140"/>
      <c r="Q52" s="140"/>
      <c r="R52" s="136"/>
      <c r="S52" s="136"/>
      <c r="T52" s="136"/>
      <c r="U52" s="136"/>
      <c r="V52" s="136"/>
      <c r="W52" s="218"/>
      <c r="X52" s="236"/>
      <c r="Y52" s="241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79"/>
      <c r="AW52" s="79"/>
      <c r="AX52" s="79"/>
    </row>
    <row r="53" spans="1:50" x14ac:dyDescent="0.15">
      <c r="A53" s="278" t="s">
        <v>45</v>
      </c>
      <c r="B53" s="279"/>
      <c r="C53" s="279"/>
      <c r="D53" s="279"/>
      <c r="E53" s="279"/>
      <c r="F53" s="17">
        <f>SUM(R614:AU614)</f>
        <v>4</v>
      </c>
      <c r="G53" s="8" t="s">
        <v>6</v>
      </c>
      <c r="H53" s="6"/>
      <c r="K53" s="66"/>
      <c r="L53" s="58"/>
      <c r="M53" s="28"/>
      <c r="N53" s="128"/>
      <c r="O53" s="79"/>
      <c r="P53" s="79"/>
      <c r="Q53" s="79"/>
      <c r="R53" s="79"/>
      <c r="S53" s="79"/>
      <c r="T53" s="79"/>
      <c r="U53" s="79"/>
      <c r="V53" s="79"/>
      <c r="W53" s="215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</row>
    <row r="54" spans="1:50" x14ac:dyDescent="0.15">
      <c r="A54" s="7"/>
      <c r="B54" s="5"/>
      <c r="C54" s="5"/>
      <c r="D54" s="5"/>
      <c r="E54" s="5"/>
      <c r="F54" s="2"/>
      <c r="G54" s="5"/>
      <c r="H54" s="6"/>
      <c r="K54" s="66"/>
      <c r="L54" s="28"/>
      <c r="M54" s="28"/>
      <c r="N54" s="128"/>
      <c r="O54" s="79"/>
      <c r="P54" s="79"/>
      <c r="Q54" s="79"/>
      <c r="R54" s="129"/>
      <c r="S54" s="129"/>
      <c r="T54" s="207"/>
      <c r="U54" s="207"/>
      <c r="V54" s="207"/>
      <c r="W54" s="207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</row>
    <row r="55" spans="1:50" x14ac:dyDescent="0.15">
      <c r="A55" s="278" t="s">
        <v>46</v>
      </c>
      <c r="B55" s="279"/>
      <c r="C55" s="279"/>
      <c r="D55" s="279"/>
      <c r="E55" s="279"/>
      <c r="F55" s="29">
        <f>IF(C41="No",(F47/X62),(F47/S64))</f>
        <v>3.2053784791700561E-2</v>
      </c>
      <c r="G55" s="5"/>
      <c r="H55" s="6"/>
      <c r="I55" s="93"/>
      <c r="K55" s="34"/>
      <c r="L55" s="28"/>
      <c r="M55" s="28"/>
      <c r="N55" s="128"/>
      <c r="O55" s="138"/>
      <c r="P55" s="79"/>
      <c r="Q55" s="79"/>
      <c r="R55" s="79"/>
      <c r="S55" s="79"/>
      <c r="T55" s="205"/>
      <c r="U55" s="205"/>
      <c r="V55" s="233"/>
      <c r="W55" s="234"/>
      <c r="X55" s="260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</row>
    <row r="56" spans="1:50" x14ac:dyDescent="0.15">
      <c r="A56" s="7"/>
      <c r="B56" s="5"/>
      <c r="C56" s="5"/>
      <c r="D56" s="5"/>
      <c r="E56" s="5"/>
      <c r="F56" s="2"/>
      <c r="G56" s="5"/>
      <c r="H56" s="6"/>
      <c r="K56" s="66"/>
      <c r="M56" s="28"/>
      <c r="N56" s="128"/>
      <c r="O56" s="138"/>
      <c r="P56" s="79"/>
      <c r="Q56" s="79"/>
      <c r="R56" s="136"/>
      <c r="S56" s="262"/>
      <c r="T56" s="205"/>
      <c r="U56" s="205"/>
      <c r="V56" s="239"/>
      <c r="W56" s="234"/>
      <c r="X56" s="236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</row>
    <row r="57" spans="1:50" x14ac:dyDescent="0.15">
      <c r="A57" s="278" t="s">
        <v>47</v>
      </c>
      <c r="B57" s="279"/>
      <c r="C57" s="279"/>
      <c r="D57" s="279"/>
      <c r="E57" s="279"/>
      <c r="F57" s="67">
        <f>IRR(Q613:AU613)</f>
        <v>0.24649574999842616</v>
      </c>
      <c r="G57" s="5"/>
      <c r="H57" s="6"/>
      <c r="J57" s="28"/>
      <c r="K57" s="66"/>
      <c r="M57" s="28"/>
      <c r="N57" s="128"/>
      <c r="O57" s="79"/>
      <c r="P57" s="79"/>
      <c r="Q57" s="79"/>
      <c r="R57" s="139"/>
      <c r="S57" s="79"/>
      <c r="T57" s="206"/>
      <c r="U57" s="206"/>
      <c r="V57" s="237"/>
      <c r="W57" s="238"/>
      <c r="X57" s="257"/>
      <c r="Y57" s="240"/>
      <c r="Z57" s="257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</row>
    <row r="58" spans="1:50" x14ac:dyDescent="0.15">
      <c r="A58" s="7"/>
      <c r="B58" s="5"/>
      <c r="C58" s="5"/>
      <c r="D58" s="5"/>
      <c r="E58" s="5"/>
      <c r="F58" s="5"/>
      <c r="G58" s="5"/>
      <c r="H58" s="6"/>
      <c r="K58" s="65"/>
      <c r="N58" s="128"/>
      <c r="O58" s="79"/>
      <c r="P58" s="79"/>
      <c r="Q58" s="79"/>
      <c r="R58" s="139"/>
      <c r="S58" s="79"/>
      <c r="T58" s="206"/>
      <c r="U58" s="206"/>
      <c r="V58" s="231"/>
      <c r="W58" s="235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</row>
    <row r="59" spans="1:50" x14ac:dyDescent="0.15">
      <c r="A59" s="278" t="s">
        <v>88</v>
      </c>
      <c r="B59" s="279"/>
      <c r="C59" s="279"/>
      <c r="D59" s="279"/>
      <c r="E59" s="279"/>
      <c r="F59" s="67">
        <f>MIRR(Q613:AU613,J60,J59)</f>
        <v>0.11307541460277282</v>
      </c>
      <c r="G59" s="5"/>
      <c r="H59" s="325" t="s">
        <v>91</v>
      </c>
      <c r="I59" s="324" t="s">
        <v>89</v>
      </c>
      <c r="J59" s="64">
        <v>7.0000000000000007E-2</v>
      </c>
      <c r="K59" s="65"/>
      <c r="N59" s="128"/>
      <c r="O59" s="79"/>
      <c r="P59" s="79"/>
      <c r="Q59" s="79"/>
      <c r="R59" s="139"/>
      <c r="S59" s="79"/>
      <c r="T59" s="206"/>
      <c r="U59" s="206"/>
      <c r="V59" s="231"/>
      <c r="W59" s="235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</row>
    <row r="60" spans="1:50" ht="14" thickBot="1" x14ac:dyDescent="0.2">
      <c r="A60" s="7"/>
      <c r="B60" s="5"/>
      <c r="C60" s="5"/>
      <c r="D60" s="5"/>
      <c r="E60" s="5"/>
      <c r="F60" s="326" t="s">
        <v>92</v>
      </c>
      <c r="G60" s="5"/>
      <c r="H60" s="325" t="s">
        <v>91</v>
      </c>
      <c r="I60" s="324" t="s">
        <v>90</v>
      </c>
      <c r="J60" s="64">
        <v>0.05</v>
      </c>
      <c r="K60" s="30"/>
      <c r="S60" s="89"/>
      <c r="T60" s="206"/>
      <c r="U60" s="206"/>
      <c r="V60" s="232"/>
      <c r="W60" s="219"/>
    </row>
    <row r="61" spans="1:50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R61" s="159" t="s">
        <v>51</v>
      </c>
      <c r="S61" s="180">
        <f>100000/S62</f>
        <v>6.5231572080887146E-2</v>
      </c>
      <c r="T61" s="28"/>
      <c r="U61" s="63"/>
      <c r="V61" s="92"/>
      <c r="W61" s="220"/>
      <c r="Z61" s="88"/>
    </row>
    <row r="62" spans="1:50" x14ac:dyDescent="0.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R62" s="159" t="s">
        <v>50</v>
      </c>
      <c r="S62" s="157">
        <f>D12/B7*1000</f>
        <v>1533000.0000000002</v>
      </c>
      <c r="V62" s="268" t="s">
        <v>82</v>
      </c>
      <c r="W62" s="268"/>
      <c r="X62" s="1">
        <f>SUM(Y69+Y87+Y105+Y123+Y141+Y159+Y177+Y195+Y213+Y231+Y249+Y267+Y285+Y303+Y321+Y339+Y357+Y375+Y393+Y411+Y429+Y447+Y465+Y483+Y501+Y519+Y537+Y555+Y573+Y591)</f>
        <v>243340.99859619679</v>
      </c>
      <c r="Z62" s="88"/>
    </row>
    <row r="63" spans="1:50" x14ac:dyDescent="0.1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6"/>
      <c r="R63" s="159" t="s">
        <v>52</v>
      </c>
      <c r="S63" s="158">
        <f>(S62*S61)+X63</f>
        <v>100000.00000000001</v>
      </c>
      <c r="T63" s="113"/>
      <c r="U63" s="113"/>
      <c r="V63" s="113"/>
      <c r="W63" s="247" t="s">
        <v>84</v>
      </c>
      <c r="X63" s="244">
        <f>X64*C17</f>
        <v>0</v>
      </c>
      <c r="Y63" s="113"/>
      <c r="Z63" s="113"/>
      <c r="AA63" s="113"/>
      <c r="AB63" s="113"/>
      <c r="AC63" s="113"/>
      <c r="AD63" s="113"/>
    </row>
    <row r="64" spans="1:50" x14ac:dyDescent="0.1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P64" s="112"/>
      <c r="R64" s="159" t="s">
        <v>65</v>
      </c>
      <c r="S64" s="230">
        <f>SUM(X68+X86+X104+X122+X140+X158+X176+X194+X212+X230+X248+X266+X284+X302+X320+X338+X356+X374+X392+X410+X428+X446+X464+X482+X500+X518+X536+X554+X572+X590)</f>
        <v>170267.31398616207</v>
      </c>
      <c r="T64" s="105"/>
      <c r="U64" s="88"/>
      <c r="V64" s="113"/>
      <c r="W64" s="247" t="s">
        <v>83</v>
      </c>
      <c r="X64" s="249">
        <f>IF(Y84=0,0,IF(AND($C$41="Yes",X83&gt;0),Y84-X83,0))</f>
        <v>0</v>
      </c>
    </row>
    <row r="65" spans="1:28" x14ac:dyDescent="0.1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P65" s="112"/>
      <c r="R65" s="159" t="s">
        <v>80</v>
      </c>
      <c r="S65" s="160">
        <f>IF(C41="No",(F47/X62)*100,(F47/S64)*100)</f>
        <v>3.2053784791700561</v>
      </c>
      <c r="U65" s="88"/>
    </row>
    <row r="66" spans="1:28" x14ac:dyDescent="0.15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S66" s="97"/>
      <c r="T66" s="34"/>
      <c r="U66" s="226"/>
      <c r="V66" s="34"/>
      <c r="Z66" s="34"/>
    </row>
    <row r="67" spans="1:28" ht="14" thickBot="1" x14ac:dyDescent="0.2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T67" s="34"/>
      <c r="U67" s="227"/>
      <c r="V67" s="34"/>
      <c r="W67" s="221"/>
      <c r="X67" s="65"/>
      <c r="Y67" s="245" t="s">
        <v>85</v>
      </c>
      <c r="Z67" s="251"/>
    </row>
    <row r="68" spans="1:28" ht="17" thickBot="1" x14ac:dyDescent="0.2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  <c r="R68" s="126" t="s">
        <v>48</v>
      </c>
      <c r="S68" s="153">
        <v>1</v>
      </c>
      <c r="T68" s="154" t="s">
        <v>66</v>
      </c>
      <c r="U68" s="165">
        <f>D12/12</f>
        <v>843.15000000000009</v>
      </c>
      <c r="V68" s="155" t="s">
        <v>68</v>
      </c>
      <c r="W68" s="213">
        <v>0</v>
      </c>
      <c r="X68" s="261">
        <f>IF(X83="",0,U68*12/POWER($C$34+1,1)/POWER($E$41+1,S68))</f>
        <v>9793.725619258732</v>
      </c>
      <c r="Y68" s="250">
        <f>U68*12</f>
        <v>10117.800000000001</v>
      </c>
      <c r="Z68" s="90"/>
      <c r="AA68" s="97"/>
      <c r="AB68" s="87"/>
    </row>
    <row r="69" spans="1:28" x14ac:dyDescent="0.1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6"/>
      <c r="U69" s="183" t="s">
        <v>76</v>
      </c>
      <c r="V69" s="166">
        <f>IF(S68&lt;=$C$29,$C$26,IF(AND(S68&gt;$C$29,$B$32="Yes"),AVERAGE(U71:U82),$D$32))</f>
        <v>0.16</v>
      </c>
      <c r="Y69" s="259">
        <f>IF(X68&gt;0,(D12)/POWER($C$34+1,1),0)</f>
        <v>10087.537387836494</v>
      </c>
      <c r="Z69" s="265"/>
      <c r="AB69" s="87"/>
    </row>
    <row r="70" spans="1:28" x14ac:dyDescent="0.1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6"/>
      <c r="Q70" t="s">
        <v>77</v>
      </c>
      <c r="R70" s="122" t="s">
        <v>70</v>
      </c>
      <c r="S70" s="124">
        <f>$C$24</f>
        <v>0.9</v>
      </c>
      <c r="T70" s="125">
        <f>100%-$S$88</f>
        <v>9.9999999999999978E-2</v>
      </c>
      <c r="U70" s="112" t="s">
        <v>72</v>
      </c>
      <c r="V70" s="115" t="s">
        <v>71</v>
      </c>
      <c r="W70" s="115" t="s">
        <v>67</v>
      </c>
      <c r="X70" s="116" t="s">
        <v>69</v>
      </c>
      <c r="Z70" s="64"/>
      <c r="AB70" s="86"/>
    </row>
    <row r="71" spans="1:28" x14ac:dyDescent="0.1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6"/>
      <c r="Q71">
        <v>0</v>
      </c>
      <c r="R71" s="166">
        <v>1</v>
      </c>
      <c r="S71" s="1">
        <f>$U$68*$C$24</f>
        <v>758.83500000000015</v>
      </c>
      <c r="T71" s="167">
        <f>$U$68*(100%-$C$24)</f>
        <v>84.314999999999984</v>
      </c>
      <c r="U71" s="168">
        <f>$C$14*(1+$W$68)</f>
        <v>0.36</v>
      </c>
      <c r="V71" s="169">
        <f>S71*$V$69</f>
        <v>121.41360000000003</v>
      </c>
      <c r="W71" s="186">
        <f t="shared" ref="W71:W82" si="9">T71*U71</f>
        <v>30.353399999999993</v>
      </c>
      <c r="X71" s="170">
        <f t="shared" ref="X71:X82" si="10">W71+V71</f>
        <v>151.76700000000002</v>
      </c>
      <c r="Y71" s="87"/>
      <c r="Z71" s="254"/>
    </row>
    <row r="72" spans="1:28" x14ac:dyDescent="0.1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6"/>
      <c r="Q72">
        <f>Q71+1</f>
        <v>1</v>
      </c>
      <c r="R72" s="166">
        <v>2</v>
      </c>
      <c r="S72" s="1">
        <f>$U$68*$C$24</f>
        <v>758.83500000000015</v>
      </c>
      <c r="T72" s="167">
        <f>$U$68*(100%-$C$24)</f>
        <v>84.314999999999984</v>
      </c>
      <c r="U72" s="168">
        <f>$C$14*(1+$W$68)</f>
        <v>0.36</v>
      </c>
      <c r="V72" s="169">
        <f t="shared" ref="V72:V82" si="11">S72*$V$69</f>
        <v>121.41360000000003</v>
      </c>
      <c r="W72" s="186">
        <f t="shared" si="9"/>
        <v>30.353399999999993</v>
      </c>
      <c r="X72" s="170">
        <f t="shared" si="10"/>
        <v>151.76700000000002</v>
      </c>
      <c r="Z72" s="198"/>
    </row>
    <row r="73" spans="1:28" x14ac:dyDescent="0.1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6"/>
      <c r="Q73">
        <f t="shared" ref="Q73:Q82" si="12">Q72+1</f>
        <v>2</v>
      </c>
      <c r="R73" s="166">
        <v>3</v>
      </c>
      <c r="S73" s="1">
        <f>$U$68*$C$24</f>
        <v>758.83500000000015</v>
      </c>
      <c r="T73" s="167">
        <f>$U$68*(100%-$C$24)</f>
        <v>84.314999999999984</v>
      </c>
      <c r="U73" s="168">
        <f>$C$14*(1+$W$68)</f>
        <v>0.36</v>
      </c>
      <c r="V73" s="169">
        <f t="shared" si="11"/>
        <v>121.41360000000003</v>
      </c>
      <c r="W73" s="186">
        <f t="shared" si="9"/>
        <v>30.353399999999993</v>
      </c>
      <c r="X73" s="170">
        <f t="shared" si="10"/>
        <v>151.76700000000002</v>
      </c>
      <c r="Z73" s="198"/>
    </row>
    <row r="74" spans="1:28" x14ac:dyDescent="0.1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6"/>
      <c r="Q74">
        <f t="shared" si="12"/>
        <v>3</v>
      </c>
      <c r="R74" s="166">
        <v>4</v>
      </c>
      <c r="S74" s="1">
        <f>$U$68*$C$24</f>
        <v>758.83500000000015</v>
      </c>
      <c r="T74" s="167">
        <f>$U$68*(100%-$C$24)</f>
        <v>84.314999999999984</v>
      </c>
      <c r="U74" s="168">
        <f>$C$14*(1+$W$68)</f>
        <v>0.36</v>
      </c>
      <c r="V74" s="169">
        <f t="shared" si="11"/>
        <v>121.41360000000003</v>
      </c>
      <c r="W74" s="186">
        <f t="shared" si="9"/>
        <v>30.353399999999993</v>
      </c>
      <c r="X74" s="170">
        <f t="shared" si="10"/>
        <v>151.76700000000002</v>
      </c>
      <c r="Z74" s="255"/>
    </row>
    <row r="75" spans="1:28" x14ac:dyDescent="0.1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6"/>
      <c r="P75" s="112"/>
      <c r="Q75">
        <f t="shared" si="12"/>
        <v>4</v>
      </c>
      <c r="R75" s="166">
        <v>5</v>
      </c>
      <c r="S75" s="1">
        <f>$U$68*$C$24</f>
        <v>758.83500000000015</v>
      </c>
      <c r="T75" s="167">
        <f>$U$68*(100%-$C$24)</f>
        <v>84.314999999999984</v>
      </c>
      <c r="U75" s="168">
        <f>$C$14*(1+$W$68)</f>
        <v>0.36</v>
      </c>
      <c r="V75" s="169">
        <f t="shared" si="11"/>
        <v>121.41360000000003</v>
      </c>
      <c r="W75" s="186">
        <f t="shared" si="9"/>
        <v>30.353399999999993</v>
      </c>
      <c r="X75" s="170">
        <f t="shared" si="10"/>
        <v>151.76700000000002</v>
      </c>
      <c r="Z75" s="256"/>
    </row>
    <row r="76" spans="1:28" x14ac:dyDescent="0.1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6"/>
      <c r="P76" s="112"/>
      <c r="Q76">
        <f t="shared" si="12"/>
        <v>5</v>
      </c>
      <c r="R76" s="166">
        <v>6</v>
      </c>
      <c r="S76" s="1">
        <f>$U$68*$C$24</f>
        <v>758.83500000000015</v>
      </c>
      <c r="T76" s="167">
        <f>$U$68*(100%-$C$24)</f>
        <v>84.314999999999984</v>
      </c>
      <c r="U76" s="168">
        <f>$C$14*(1+$W$68)</f>
        <v>0.36</v>
      </c>
      <c r="V76" s="169">
        <f t="shared" si="11"/>
        <v>121.41360000000003</v>
      </c>
      <c r="W76" s="186">
        <f t="shared" si="9"/>
        <v>30.353399999999993</v>
      </c>
      <c r="X76" s="170">
        <f t="shared" si="10"/>
        <v>151.76700000000002</v>
      </c>
      <c r="AA76" s="252"/>
    </row>
    <row r="77" spans="1:28" x14ac:dyDescent="0.15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6"/>
      <c r="P77" s="112"/>
      <c r="Q77">
        <f t="shared" si="12"/>
        <v>6</v>
      </c>
      <c r="R77" s="166">
        <v>7</v>
      </c>
      <c r="S77" s="1">
        <f>$U$68*$C$24</f>
        <v>758.83500000000015</v>
      </c>
      <c r="T77" s="167">
        <f>$U$68*(100%-$C$24)</f>
        <v>84.314999999999984</v>
      </c>
      <c r="U77" s="168">
        <f>$C$14*(1+$W$68)</f>
        <v>0.36</v>
      </c>
      <c r="V77" s="169">
        <f t="shared" si="11"/>
        <v>121.41360000000003</v>
      </c>
      <c r="W77" s="186">
        <f t="shared" si="9"/>
        <v>30.353399999999993</v>
      </c>
      <c r="X77" s="170">
        <f t="shared" si="10"/>
        <v>151.76700000000002</v>
      </c>
      <c r="Z77" s="190"/>
    </row>
    <row r="78" spans="1:28" x14ac:dyDescent="0.15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6"/>
      <c r="P78" s="112"/>
      <c r="Q78">
        <f t="shared" si="12"/>
        <v>7</v>
      </c>
      <c r="R78" s="166">
        <v>8</v>
      </c>
      <c r="S78" s="1">
        <f>$U$68*$C$24</f>
        <v>758.83500000000015</v>
      </c>
      <c r="T78" s="167">
        <f>$U$68*(100%-$C$24)</f>
        <v>84.314999999999984</v>
      </c>
      <c r="U78" s="168">
        <f>$C$14*(1+$W$68)</f>
        <v>0.36</v>
      </c>
      <c r="V78" s="169">
        <f t="shared" si="11"/>
        <v>121.41360000000003</v>
      </c>
      <c r="W78" s="186">
        <f t="shared" si="9"/>
        <v>30.353399999999993</v>
      </c>
      <c r="X78" s="170">
        <f t="shared" si="10"/>
        <v>151.76700000000002</v>
      </c>
    </row>
    <row r="79" spans="1:28" ht="14" thickBot="1" x14ac:dyDescent="0.2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  <c r="P79" s="112"/>
      <c r="Q79">
        <f t="shared" si="12"/>
        <v>8</v>
      </c>
      <c r="R79" s="166">
        <v>9</v>
      </c>
      <c r="S79" s="1">
        <f>$U$68*$C$24</f>
        <v>758.83500000000015</v>
      </c>
      <c r="T79" s="167">
        <f>$U$68*(100%-$C$24)</f>
        <v>84.314999999999984</v>
      </c>
      <c r="U79" s="168">
        <f>$C$14*(1+$W$68)</f>
        <v>0.36</v>
      </c>
      <c r="V79" s="169">
        <f t="shared" si="11"/>
        <v>121.41360000000003</v>
      </c>
      <c r="W79" s="186">
        <f t="shared" si="9"/>
        <v>30.353399999999993</v>
      </c>
      <c r="X79" s="170">
        <f t="shared" si="10"/>
        <v>151.76700000000002</v>
      </c>
    </row>
    <row r="80" spans="1:28" x14ac:dyDescent="0.15">
      <c r="P80" s="112"/>
      <c r="Q80">
        <f t="shared" si="12"/>
        <v>9</v>
      </c>
      <c r="R80" s="166">
        <v>10</v>
      </c>
      <c r="S80" s="1">
        <f>$U$68*$C$24</f>
        <v>758.83500000000015</v>
      </c>
      <c r="T80" s="167">
        <f>$U$68*(100%-$C$24)</f>
        <v>84.314999999999984</v>
      </c>
      <c r="U80" s="168">
        <f>$C$14*(1+$W$68)</f>
        <v>0.36</v>
      </c>
      <c r="V80" s="169">
        <f t="shared" si="11"/>
        <v>121.41360000000003</v>
      </c>
      <c r="W80" s="186">
        <f t="shared" si="9"/>
        <v>30.353399999999993</v>
      </c>
      <c r="X80" s="170">
        <f t="shared" si="10"/>
        <v>151.76700000000002</v>
      </c>
    </row>
    <row r="81" spans="16:28" x14ac:dyDescent="0.15">
      <c r="P81" s="112"/>
      <c r="Q81">
        <f t="shared" si="12"/>
        <v>10</v>
      </c>
      <c r="R81" s="166">
        <v>11</v>
      </c>
      <c r="S81" s="1">
        <f>$U$68*$C$24</f>
        <v>758.83500000000015</v>
      </c>
      <c r="T81" s="167">
        <f>$U$68*(100%-$C$24)</f>
        <v>84.314999999999984</v>
      </c>
      <c r="U81" s="168">
        <f>$C$14*(1+$W$68)</f>
        <v>0.36</v>
      </c>
      <c r="V81" s="169">
        <f t="shared" si="11"/>
        <v>121.41360000000003</v>
      </c>
      <c r="W81" s="186">
        <f t="shared" si="9"/>
        <v>30.353399999999993</v>
      </c>
      <c r="X81" s="170">
        <f t="shared" si="10"/>
        <v>151.76700000000002</v>
      </c>
    </row>
    <row r="82" spans="16:28" x14ac:dyDescent="0.15">
      <c r="P82" s="112"/>
      <c r="Q82">
        <f t="shared" si="12"/>
        <v>11</v>
      </c>
      <c r="R82" s="166">
        <v>12</v>
      </c>
      <c r="S82" s="1">
        <f>$U$68*$C$24</f>
        <v>758.83500000000015</v>
      </c>
      <c r="T82" s="167">
        <f>$U$68*(100%-$C$24)</f>
        <v>84.314999999999984</v>
      </c>
      <c r="U82" s="168">
        <f>$C$14*(1+$W$68)</f>
        <v>0.36</v>
      </c>
      <c r="V82" s="169">
        <f t="shared" si="11"/>
        <v>121.41360000000003</v>
      </c>
      <c r="W82" s="186">
        <f t="shared" si="9"/>
        <v>30.353399999999993</v>
      </c>
      <c r="X82" s="170">
        <f t="shared" si="10"/>
        <v>151.76700000000002</v>
      </c>
    </row>
    <row r="83" spans="16:28" ht="16" x14ac:dyDescent="0.3">
      <c r="P83" s="112"/>
      <c r="S83" s="118">
        <f>IF($C$17&gt;=S68,SUM(S71:S82),"")</f>
        <v>9106.0200000000023</v>
      </c>
      <c r="T83" s="119">
        <f>IF($C$17&gt;=S68,SUM(T71:T82),"")</f>
        <v>1011.7799999999996</v>
      </c>
      <c r="U83" s="108">
        <f>IF(Y84="",0,AVERAGE(U71:U82))</f>
        <v>0.35999999999999993</v>
      </c>
      <c r="V83" s="120">
        <f>IF($C$17&gt;=S68,SUM(V71:V82),"")</f>
        <v>1456.9632000000008</v>
      </c>
      <c r="W83" s="121">
        <f>IF($C$17&gt;=S68,SUM(W71:W82),"")</f>
        <v>364.24079999999981</v>
      </c>
      <c r="X83" s="121">
        <f>IF($C$17&gt;=S68,SUM(X71:X82),"")</f>
        <v>1821.2040000000004</v>
      </c>
    </row>
    <row r="84" spans="16:28" x14ac:dyDescent="0.15">
      <c r="P84" s="112"/>
      <c r="Q84" s="112"/>
      <c r="S84" s="112"/>
      <c r="T84" s="112"/>
      <c r="U84" s="112"/>
      <c r="V84" s="112"/>
      <c r="W84" s="222" t="s">
        <v>53</v>
      </c>
      <c r="X84" s="117">
        <f>IF(AND($D$36="Yes",$D$38+1=S68,$C$17&gt;=S68),$B$38,0)</f>
        <v>0</v>
      </c>
      <c r="Y84" s="142">
        <f>IF(X83="",0,IF(AND($C$41="No",$D$36="No"),X83,IF(AND($C$41="Yes",$D$36="Yes"),(X83-X84)-($D$9+$B$38)*$E$41,IF(AND($C$41="Yes",$D$36="No"),X83-($D$9*$E$41),IF(AND($C$41="No",$D$36="Yes"),X83-X84,X83)))))</f>
        <v>1821.2040000000004</v>
      </c>
      <c r="Z84" s="164"/>
    </row>
    <row r="85" spans="16:28" ht="14" thickBot="1" x14ac:dyDescent="0.2">
      <c r="P85" s="112"/>
      <c r="Q85" s="112"/>
      <c r="T85" s="105"/>
      <c r="U85" s="97">
        <f>ROUND(U86,15)</f>
        <v>840.62054999999998</v>
      </c>
      <c r="V85" s="105"/>
      <c r="Y85" s="245" t="s">
        <v>85</v>
      </c>
    </row>
    <row r="86" spans="16:28" ht="17" thickBot="1" x14ac:dyDescent="0.25">
      <c r="P86" s="112"/>
      <c r="Q86" s="112"/>
      <c r="R86" s="126" t="s">
        <v>48</v>
      </c>
      <c r="S86" s="127">
        <v>2</v>
      </c>
      <c r="T86" s="154" t="s">
        <v>66</v>
      </c>
      <c r="U86" s="165">
        <f>U68-($C$34*U68)</f>
        <v>840.62055000000009</v>
      </c>
      <c r="V86" s="155" t="s">
        <v>68</v>
      </c>
      <c r="W86" s="185">
        <f>ROUND($C$22/12,15)</f>
        <v>5.8333333333329997E-3</v>
      </c>
      <c r="X86" s="261">
        <f>IF(X101="",0,Y69/POWER($C$34+1,1)/POWER($E$41+1,S86))</f>
        <v>9480.0313808658811</v>
      </c>
      <c r="Y86" s="246">
        <f>U86*12</f>
        <v>10087.446600000001</v>
      </c>
      <c r="Z86" s="263"/>
      <c r="AA86" s="264"/>
    </row>
    <row r="87" spans="16:28" x14ac:dyDescent="0.15">
      <c r="P87" s="112"/>
      <c r="Q87" s="112"/>
      <c r="U87" s="183" t="s">
        <v>76</v>
      </c>
      <c r="V87" s="166">
        <f>IF(S86&lt;=$C$29,$C$26,IF(AND(S86&gt;$C$29,$B$32="Yes"),AVERAGE(U89:U100),$D$32))</f>
        <v>0.16</v>
      </c>
      <c r="Y87" s="250">
        <f>IF(X86&gt;0,($D$12)/POWER($C$34+1,S86),0)</f>
        <v>10057.365291960612</v>
      </c>
      <c r="Z87" s="87"/>
    </row>
    <row r="88" spans="16:28" x14ac:dyDescent="0.15">
      <c r="P88" s="112"/>
      <c r="Q88" s="112"/>
      <c r="R88" s="122" t="s">
        <v>70</v>
      </c>
      <c r="S88" s="124">
        <f>$C$24</f>
        <v>0.9</v>
      </c>
      <c r="T88" s="125">
        <f>100%-$S$88</f>
        <v>9.9999999999999978E-2</v>
      </c>
      <c r="U88" s="112" t="s">
        <v>72</v>
      </c>
      <c r="V88" s="115" t="s">
        <v>71</v>
      </c>
      <c r="W88" s="115" t="s">
        <v>67</v>
      </c>
      <c r="X88" s="116" t="s">
        <v>69</v>
      </c>
      <c r="Y88" s="90"/>
      <c r="Z88" s="86"/>
    </row>
    <row r="89" spans="16:28" x14ac:dyDescent="0.15">
      <c r="P89" s="112"/>
      <c r="Q89" s="112">
        <f>Q82+1</f>
        <v>12</v>
      </c>
      <c r="R89" s="166">
        <v>1</v>
      </c>
      <c r="S89" s="172">
        <f>$U$86*$C$24</f>
        <v>756.55849500000011</v>
      </c>
      <c r="T89" s="187">
        <f>($U$86*(100%-$C$24))</f>
        <v>84.062054999999987</v>
      </c>
      <c r="U89" s="211">
        <f>ROUND(C14*(1+W86),5)</f>
        <v>0.36209999999999998</v>
      </c>
      <c r="V89" s="210">
        <f>(S89*$V$87)</f>
        <v>121.04935920000003</v>
      </c>
      <c r="W89" s="186">
        <f>T89*U89</f>
        <v>30.438870115499995</v>
      </c>
      <c r="X89" s="192">
        <f>W89+V89</f>
        <v>151.48822931550001</v>
      </c>
      <c r="Y89" s="85"/>
      <c r="Z89" s="190"/>
      <c r="AA89" s="191"/>
      <c r="AB89" s="189"/>
    </row>
    <row r="90" spans="16:28" x14ac:dyDescent="0.15">
      <c r="Q90">
        <f>Q89+1</f>
        <v>13</v>
      </c>
      <c r="R90" s="166">
        <v>2</v>
      </c>
      <c r="S90" s="172">
        <f>$U$86*$C$24</f>
        <v>756.55849500000011</v>
      </c>
      <c r="T90" s="187">
        <f>($U$86*(100%-$C$24))</f>
        <v>84.062054999999987</v>
      </c>
      <c r="U90" s="211">
        <f>ROUND(U89*(1+$W$86),60)</f>
        <v>0.36421225000000002</v>
      </c>
      <c r="V90" s="210">
        <f>(S90*$V$87)</f>
        <v>121.04935920000003</v>
      </c>
      <c r="W90" s="186">
        <f>T90*U90</f>
        <v>30.616430191173745</v>
      </c>
      <c r="X90" s="192">
        <f>W90+V90</f>
        <v>151.66578939117377</v>
      </c>
      <c r="Y90" s="193"/>
      <c r="Z90" s="109"/>
      <c r="AA90" s="191"/>
      <c r="AB90" s="109"/>
    </row>
    <row r="91" spans="16:28" x14ac:dyDescent="0.15">
      <c r="Q91">
        <f t="shared" ref="Q91:Q100" si="13">Q90+1</f>
        <v>14</v>
      </c>
      <c r="R91" s="166">
        <v>3</v>
      </c>
      <c r="S91" s="172">
        <f>$U$86*$C$24</f>
        <v>756.55849500000011</v>
      </c>
      <c r="T91" s="187">
        <f>($U$86*(100%-$C$24))</f>
        <v>84.062054999999987</v>
      </c>
      <c r="U91" s="211">
        <f>ROUND(U90*(1+$W$86),60)</f>
        <v>0.36633682145833302</v>
      </c>
      <c r="V91" s="210">
        <f t="shared" ref="V91:V100" si="14">(S91*$V$87)</f>
        <v>121.04935920000003</v>
      </c>
      <c r="W91" s="186">
        <f>T91*U91</f>
        <v>30.795026033955565</v>
      </c>
      <c r="X91" s="192">
        <f>W91+V91</f>
        <v>151.84438523395559</v>
      </c>
      <c r="Z91" s="109"/>
    </row>
    <row r="92" spans="16:28" x14ac:dyDescent="0.15">
      <c r="Q92">
        <f t="shared" si="13"/>
        <v>15</v>
      </c>
      <c r="R92" s="166">
        <v>4</v>
      </c>
      <c r="S92" s="172">
        <f>$U$86*$C$24</f>
        <v>756.55849500000011</v>
      </c>
      <c r="T92" s="187">
        <f>($U$86*(100%-$C$24))</f>
        <v>84.062054999999987</v>
      </c>
      <c r="U92" s="211">
        <f t="shared" ref="U92:U100" si="15">ROUND(U91*(1+$W$86),60)</f>
        <v>0.36847378625017302</v>
      </c>
      <c r="V92" s="210">
        <f t="shared" si="14"/>
        <v>121.04935920000003</v>
      </c>
      <c r="W92" s="186">
        <f t="shared" ref="W92:W100" si="16">T92*U92</f>
        <v>30.974663685820282</v>
      </c>
      <c r="X92" s="192">
        <f t="shared" ref="X92:X100" si="17">W92+V92</f>
        <v>152.0240228858203</v>
      </c>
      <c r="Z92" s="109"/>
    </row>
    <row r="93" spans="16:28" x14ac:dyDescent="0.15">
      <c r="Q93">
        <f t="shared" si="13"/>
        <v>16</v>
      </c>
      <c r="R93" s="166">
        <v>5</v>
      </c>
      <c r="S93" s="172">
        <f>$U$86*$C$24</f>
        <v>756.55849500000011</v>
      </c>
      <c r="T93" s="187">
        <f>($U$86*(100%-$C$24))</f>
        <v>84.062054999999987</v>
      </c>
      <c r="U93" s="211">
        <f t="shared" si="15"/>
        <v>0.370623216669966</v>
      </c>
      <c r="V93" s="210">
        <f t="shared" si="14"/>
        <v>121.04935920000003</v>
      </c>
      <c r="W93" s="186">
        <f t="shared" si="16"/>
        <v>31.155349223987596</v>
      </c>
      <c r="X93" s="192">
        <f t="shared" si="17"/>
        <v>152.20470842398763</v>
      </c>
      <c r="Z93" s="109"/>
    </row>
    <row r="94" spans="16:28" x14ac:dyDescent="0.15">
      <c r="Q94">
        <f t="shared" si="13"/>
        <v>17</v>
      </c>
      <c r="R94" s="166">
        <v>6</v>
      </c>
      <c r="S94" s="172">
        <f>$U$86*$C$24</f>
        <v>756.55849500000011</v>
      </c>
      <c r="T94" s="187">
        <f>($U$86*(100%-$C$24))</f>
        <v>84.062054999999987</v>
      </c>
      <c r="U94" s="211">
        <f t="shared" si="15"/>
        <v>0.37278518543387401</v>
      </c>
      <c r="V94" s="210">
        <f t="shared" si="14"/>
        <v>121.04935920000003</v>
      </c>
      <c r="W94" s="186">
        <f t="shared" si="16"/>
        <v>31.337088761127511</v>
      </c>
      <c r="X94" s="192">
        <f t="shared" si="17"/>
        <v>152.38644796112754</v>
      </c>
      <c r="Z94" s="109"/>
    </row>
    <row r="95" spans="16:28" x14ac:dyDescent="0.15">
      <c r="Q95">
        <f t="shared" si="13"/>
        <v>18</v>
      </c>
      <c r="R95" s="166">
        <v>7</v>
      </c>
      <c r="S95" s="172">
        <f>$U$86*$C$24</f>
        <v>756.55849500000011</v>
      </c>
      <c r="T95" s="187">
        <f>($U$86*(100%-$C$24))</f>
        <v>84.062054999999987</v>
      </c>
      <c r="U95" s="211">
        <f t="shared" si="15"/>
        <v>0.37495976568223799</v>
      </c>
      <c r="V95" s="210">
        <f t="shared" si="14"/>
        <v>121.04935920000003</v>
      </c>
      <c r="W95" s="186">
        <f t="shared" si="16"/>
        <v>31.519888445567396</v>
      </c>
      <c r="X95" s="192">
        <f t="shared" si="17"/>
        <v>152.56924764556743</v>
      </c>
      <c r="Z95" s="109"/>
    </row>
    <row r="96" spans="16:28" x14ac:dyDescent="0.15">
      <c r="Q96">
        <f t="shared" si="13"/>
        <v>19</v>
      </c>
      <c r="R96" s="166">
        <v>8</v>
      </c>
      <c r="S96" s="172">
        <f>$U$86*$C$24</f>
        <v>756.55849500000011</v>
      </c>
      <c r="T96" s="187">
        <f>($U$86*(100%-$C$24))</f>
        <v>84.062054999999987</v>
      </c>
      <c r="U96" s="211">
        <f t="shared" si="15"/>
        <v>0.37714703098205099</v>
      </c>
      <c r="V96" s="210">
        <f t="shared" si="14"/>
        <v>121.04935920000003</v>
      </c>
      <c r="W96" s="186">
        <f t="shared" si="16"/>
        <v>31.703754461499869</v>
      </c>
      <c r="X96" s="192">
        <f t="shared" si="17"/>
        <v>152.7531136614999</v>
      </c>
      <c r="Z96" s="109"/>
    </row>
    <row r="97" spans="17:27" x14ac:dyDescent="0.15">
      <c r="Q97">
        <f t="shared" si="13"/>
        <v>20</v>
      </c>
      <c r="R97" s="166">
        <v>9</v>
      </c>
      <c r="S97" s="172">
        <f>$U$86*$C$24</f>
        <v>756.55849500000011</v>
      </c>
      <c r="T97" s="187">
        <f>($U$86*(100%-$C$24))</f>
        <v>84.062054999999987</v>
      </c>
      <c r="U97" s="211">
        <f t="shared" si="15"/>
        <v>0.37934705532944601</v>
      </c>
      <c r="V97" s="210">
        <f t="shared" si="14"/>
        <v>121.04935920000003</v>
      </c>
      <c r="W97" s="186">
        <f t="shared" si="16"/>
        <v>31.888693029191931</v>
      </c>
      <c r="X97" s="192">
        <f t="shared" si="17"/>
        <v>152.93805222919195</v>
      </c>
      <c r="Z97" s="109"/>
    </row>
    <row r="98" spans="17:27" x14ac:dyDescent="0.15">
      <c r="Q98">
        <f t="shared" si="13"/>
        <v>21</v>
      </c>
      <c r="R98" s="166">
        <v>10</v>
      </c>
      <c r="S98" s="172">
        <f>$U$86*$C$24</f>
        <v>756.55849500000011</v>
      </c>
      <c r="T98" s="187">
        <f>($U$86*(100%-$C$24))</f>
        <v>84.062054999999987</v>
      </c>
      <c r="U98" s="211">
        <f t="shared" si="15"/>
        <v>0.381559913152201</v>
      </c>
      <c r="V98" s="210">
        <f t="shared" si="14"/>
        <v>121.04935920000003</v>
      </c>
      <c r="W98" s="186">
        <f t="shared" si="16"/>
        <v>32.074710405195539</v>
      </c>
      <c r="X98" s="192">
        <f t="shared" si="17"/>
        <v>153.12406960519556</v>
      </c>
      <c r="Z98" s="109"/>
      <c r="AA98" s="97"/>
    </row>
    <row r="99" spans="17:27" x14ac:dyDescent="0.15">
      <c r="Q99">
        <f t="shared" si="13"/>
        <v>22</v>
      </c>
      <c r="R99" s="166">
        <v>11</v>
      </c>
      <c r="S99" s="172">
        <f>$U$86*$C$24</f>
        <v>756.55849500000011</v>
      </c>
      <c r="T99" s="187">
        <f>($U$86*(100%-$C$24))</f>
        <v>84.062054999999987</v>
      </c>
      <c r="U99" s="211">
        <f t="shared" si="15"/>
        <v>0.38378567931225499</v>
      </c>
      <c r="V99" s="210">
        <f t="shared" si="14"/>
        <v>121.04935920000003</v>
      </c>
      <c r="W99" s="186">
        <f t="shared" si="16"/>
        <v>32.261812882559134</v>
      </c>
      <c r="X99" s="192">
        <f t="shared" si="17"/>
        <v>153.31117208255915</v>
      </c>
      <c r="Z99" s="109"/>
    </row>
    <row r="100" spans="17:27" x14ac:dyDescent="0.15">
      <c r="Q100">
        <f t="shared" si="13"/>
        <v>23</v>
      </c>
      <c r="R100" s="166">
        <v>12</v>
      </c>
      <c r="S100" s="172">
        <f>$U$86*$C$24</f>
        <v>756.55849500000011</v>
      </c>
      <c r="T100" s="187">
        <f>($U$86*(100%-$C$24))</f>
        <v>84.062054999999987</v>
      </c>
      <c r="U100" s="211">
        <f t="shared" si="15"/>
        <v>0.38602442910824297</v>
      </c>
      <c r="V100" s="210">
        <f t="shared" si="14"/>
        <v>121.04935920000003</v>
      </c>
      <c r="W100" s="186">
        <f t="shared" si="16"/>
        <v>32.450006791040714</v>
      </c>
      <c r="X100" s="192">
        <f t="shared" si="17"/>
        <v>153.49936599104075</v>
      </c>
      <c r="Z100" s="109"/>
    </row>
    <row r="101" spans="17:27" ht="16" x14ac:dyDescent="0.3">
      <c r="S101" s="118">
        <f>IF($C$17&gt;=S86,SUM(S89:S100),"")</f>
        <v>9078.7019400000008</v>
      </c>
      <c r="T101" s="119">
        <f>IF($C$17&gt;=S86,SUM(T89:T100),"")</f>
        <v>1008.7446599999998</v>
      </c>
      <c r="U101" s="108">
        <f>IF(Y102="",0,AVERAGE(U89:U100))</f>
        <v>0.37394626111489843</v>
      </c>
      <c r="V101" s="120">
        <f>IF($C$17&gt;=S86,SUM(V89:V100),"")</f>
        <v>1452.5923104000003</v>
      </c>
      <c r="W101" s="121">
        <f>IF($C$17&gt;=S86,SUM(W89:W100),"")</f>
        <v>377.21629402661932</v>
      </c>
      <c r="X101" s="121">
        <f>IF($C$17&gt;=S86,SUM(X89:X100),"")</f>
        <v>1829.8086044266195</v>
      </c>
      <c r="Z101" s="109"/>
    </row>
    <row r="102" spans="17:27" x14ac:dyDescent="0.15">
      <c r="S102" s="112"/>
      <c r="T102" s="112"/>
      <c r="U102" s="112"/>
      <c r="V102" s="112"/>
      <c r="W102" s="222" t="s">
        <v>53</v>
      </c>
      <c r="X102" s="117">
        <f>IF(AND($D$36="Yes",$D$38+1=S86,$C$17&gt;=S86),$B$38,0)</f>
        <v>0</v>
      </c>
      <c r="Y102" s="142">
        <f>IF(X101="",0,IF(AND($C$41="No",$D$36="No"),X101,IF(AND($C$41="Yes",$D$36="Yes"),(X101-X102)-($D$9+$B$38)*$E$41,IF(AND($C$41="Yes",$D$36="No"),X101-($D$9*$E$41),IF(AND($C$41="No",$D$36="Yes"),X101-X102,X101)))))</f>
        <v>1829.8086044266195</v>
      </c>
      <c r="Z102" s="164"/>
    </row>
    <row r="103" spans="17:27" ht="14" thickBot="1" x14ac:dyDescent="0.2">
      <c r="S103" s="112"/>
      <c r="T103" s="112"/>
      <c r="U103" s="112"/>
      <c r="V103" s="112"/>
      <c r="W103" s="221"/>
      <c r="X103" s="34"/>
      <c r="Y103" s="245" t="s">
        <v>85</v>
      </c>
    </row>
    <row r="104" spans="17:27" ht="17" thickBot="1" x14ac:dyDescent="0.25">
      <c r="R104" s="126" t="s">
        <v>48</v>
      </c>
      <c r="S104" s="127">
        <v>3</v>
      </c>
      <c r="T104" s="154" t="s">
        <v>66</v>
      </c>
      <c r="U104" s="143">
        <f>U86-($C$34*U86)</f>
        <v>838.09868835000009</v>
      </c>
      <c r="V104" s="155" t="s">
        <v>68</v>
      </c>
      <c r="W104" s="185">
        <f>ROUND($C$22/12,15)</f>
        <v>5.8333333333329997E-3</v>
      </c>
      <c r="X104" s="261">
        <f>IF(X119="",0,Y87/POWER($C$34+1,1)/POWER($E$41+1,S104))</f>
        <v>9176.384807582961</v>
      </c>
      <c r="Y104" s="246">
        <f>U104*12</f>
        <v>10057.184260200002</v>
      </c>
      <c r="Z104" s="97"/>
    </row>
    <row r="105" spans="17:27" x14ac:dyDescent="0.15">
      <c r="U105" s="183" t="s">
        <v>76</v>
      </c>
      <c r="V105" s="166">
        <f>IF(S104&lt;=$C$29,$C$26,IF(AND(S104&gt;$C$29,$B$32="Yes"),AVERAGE(U107:U118),$D$32))</f>
        <v>0.16</v>
      </c>
      <c r="Y105" s="250">
        <f>IF(X104&gt;0,($D$12)/POWER($C$34+1,S104),0)</f>
        <v>10027.283441635705</v>
      </c>
    </row>
    <row r="106" spans="17:27" x14ac:dyDescent="0.15">
      <c r="R106" s="122" t="s">
        <v>70</v>
      </c>
      <c r="S106" s="124">
        <f>$C$24</f>
        <v>0.9</v>
      </c>
      <c r="T106" s="125">
        <f>100%-$S$88</f>
        <v>9.9999999999999978E-2</v>
      </c>
      <c r="U106" s="112" t="s">
        <v>72</v>
      </c>
      <c r="V106" s="115" t="s">
        <v>71</v>
      </c>
      <c r="W106" s="115" t="s">
        <v>67</v>
      </c>
      <c r="X106" s="116" t="s">
        <v>69</v>
      </c>
      <c r="Y106" s="34"/>
    </row>
    <row r="107" spans="17:27" x14ac:dyDescent="0.15">
      <c r="Q107">
        <f>Q100+1</f>
        <v>24</v>
      </c>
      <c r="R107" s="166">
        <v>1</v>
      </c>
      <c r="S107" s="1">
        <f>$U$104*$C$24</f>
        <v>754.28881951500011</v>
      </c>
      <c r="T107" s="167">
        <f>$U$104*(100%-$C$24)</f>
        <v>83.809868834999989</v>
      </c>
      <c r="U107" s="168">
        <f>(ROUND(U100*(1+$W$104),60))</f>
        <v>0.38827623827804097</v>
      </c>
      <c r="V107" s="169">
        <f>S107*$V$105</f>
        <v>120.68621112240002</v>
      </c>
      <c r="W107" s="186">
        <f t="shared" ref="W107:W118" si="18">T107*U107</f>
        <v>32.541380601829815</v>
      </c>
      <c r="X107" s="170">
        <f t="shared" ref="X107:X118" si="19">W107+V107</f>
        <v>153.22759172422985</v>
      </c>
      <c r="Y107" s="34"/>
    </row>
    <row r="108" spans="17:27" x14ac:dyDescent="0.15">
      <c r="Q108">
        <f>Q107+1</f>
        <v>25</v>
      </c>
      <c r="R108" s="166">
        <v>2</v>
      </c>
      <c r="S108" s="1">
        <f>$U$104*$C$24</f>
        <v>754.28881951500011</v>
      </c>
      <c r="T108" s="167">
        <f>$U$104*(100%-$C$24)</f>
        <v>83.809868834999989</v>
      </c>
      <c r="U108" s="168">
        <f>(ROUND(U107*(1+$W$104),60))</f>
        <v>0.39054118300132901</v>
      </c>
      <c r="V108" s="169">
        <f t="shared" ref="V108:V118" si="20">S108*$V$105</f>
        <v>120.68621112240002</v>
      </c>
      <c r="W108" s="186">
        <f t="shared" si="18"/>
        <v>32.731205322007114</v>
      </c>
      <c r="X108" s="170">
        <f>W108+V108</f>
        <v>153.41741644440714</v>
      </c>
      <c r="Y108" s="34"/>
    </row>
    <row r="109" spans="17:27" x14ac:dyDescent="0.15">
      <c r="Q109">
        <f t="shared" ref="Q109:Q118" si="21">Q108+1</f>
        <v>26</v>
      </c>
      <c r="R109" s="166">
        <v>3</v>
      </c>
      <c r="S109" s="1">
        <f>$U$104*$C$24</f>
        <v>754.28881951500011</v>
      </c>
      <c r="T109" s="167">
        <f>$U$104*(100%-$C$24)</f>
        <v>83.809868834999989</v>
      </c>
      <c r="U109" s="168">
        <f t="shared" ref="U109:U118" si="22">(ROUND(U108*(1+$W$104),60))</f>
        <v>0.39281933990216999</v>
      </c>
      <c r="V109" s="169">
        <f t="shared" si="20"/>
        <v>120.68621112240002</v>
      </c>
      <c r="W109" s="186">
        <f t="shared" si="18"/>
        <v>32.922137353052143</v>
      </c>
      <c r="X109" s="170">
        <f t="shared" si="19"/>
        <v>153.60834847545217</v>
      </c>
      <c r="Y109" s="34"/>
    </row>
    <row r="110" spans="17:27" x14ac:dyDescent="0.15">
      <c r="Q110">
        <f t="shared" si="21"/>
        <v>27</v>
      </c>
      <c r="R110" s="166">
        <v>4</v>
      </c>
      <c r="S110" s="1">
        <f>$U$104*$C$24</f>
        <v>754.28881951500011</v>
      </c>
      <c r="T110" s="167">
        <f>$U$104*(100%-$C$24)</f>
        <v>83.809868834999989</v>
      </c>
      <c r="U110" s="168">
        <f t="shared" si="22"/>
        <v>0.39511078605159899</v>
      </c>
      <c r="V110" s="169">
        <f t="shared" si="20"/>
        <v>120.68621112240002</v>
      </c>
      <c r="W110" s="186">
        <f t="shared" si="18"/>
        <v>33.114183154278258</v>
      </c>
      <c r="X110" s="170">
        <f t="shared" si="19"/>
        <v>153.80039427667828</v>
      </c>
      <c r="Y110" s="34"/>
    </row>
    <row r="111" spans="17:27" x14ac:dyDescent="0.15">
      <c r="Q111">
        <f t="shared" si="21"/>
        <v>28</v>
      </c>
      <c r="R111" s="166">
        <v>5</v>
      </c>
      <c r="S111" s="1">
        <f>$U$104*$C$24</f>
        <v>754.28881951500011</v>
      </c>
      <c r="T111" s="167">
        <f>$U$104*(100%-$C$24)</f>
        <v>83.809868834999989</v>
      </c>
      <c r="U111" s="168">
        <f t="shared" si="22"/>
        <v>0.39741559897023299</v>
      </c>
      <c r="V111" s="169">
        <f t="shared" si="20"/>
        <v>120.68621112240002</v>
      </c>
      <c r="W111" s="186">
        <f t="shared" si="18"/>
        <v>33.307349222678184</v>
      </c>
      <c r="X111" s="170">
        <f t="shared" si="19"/>
        <v>153.99356034507821</v>
      </c>
      <c r="Y111" s="34"/>
    </row>
    <row r="112" spans="17:27" x14ac:dyDescent="0.15">
      <c r="Q112">
        <f t="shared" si="21"/>
        <v>29</v>
      </c>
      <c r="R112" s="166">
        <v>6</v>
      </c>
      <c r="S112" s="1">
        <f>$U$104*$C$24</f>
        <v>754.28881951500011</v>
      </c>
      <c r="T112" s="167">
        <f>$U$104*(100%-$C$24)</f>
        <v>83.809868834999989</v>
      </c>
      <c r="U112" s="168">
        <f t="shared" si="22"/>
        <v>0.399733856630893</v>
      </c>
      <c r="V112" s="169">
        <f t="shared" si="20"/>
        <v>120.68621112240002</v>
      </c>
      <c r="W112" s="186">
        <f t="shared" si="18"/>
        <v>33.501642093143836</v>
      </c>
      <c r="X112" s="170">
        <f t="shared" si="19"/>
        <v>154.18785321554387</v>
      </c>
      <c r="Y112" s="34"/>
    </row>
    <row r="113" spans="17:26" x14ac:dyDescent="0.15">
      <c r="Q113">
        <f t="shared" si="21"/>
        <v>30</v>
      </c>
      <c r="R113" s="166">
        <v>7</v>
      </c>
      <c r="S113" s="1">
        <f>$U$104*$C$24</f>
        <v>754.28881951500011</v>
      </c>
      <c r="T113" s="167">
        <f>$U$104*(100%-$C$24)</f>
        <v>83.809868834999989</v>
      </c>
      <c r="U113" s="168">
        <f t="shared" si="22"/>
        <v>0.40206563746124002</v>
      </c>
      <c r="V113" s="169">
        <f t="shared" si="20"/>
        <v>120.68621112240002</v>
      </c>
      <c r="W113" s="186">
        <f t="shared" si="18"/>
        <v>33.697068338687181</v>
      </c>
      <c r="X113" s="170">
        <f t="shared" si="19"/>
        <v>154.3832794610872</v>
      </c>
      <c r="Y113" s="34"/>
    </row>
    <row r="114" spans="17:26" x14ac:dyDescent="0.15">
      <c r="Q114">
        <f t="shared" si="21"/>
        <v>31</v>
      </c>
      <c r="R114" s="166">
        <v>8</v>
      </c>
      <c r="S114" s="1">
        <f>$U$104*$C$24</f>
        <v>754.28881951500011</v>
      </c>
      <c r="T114" s="167">
        <f>$U$104*(100%-$C$24)</f>
        <v>83.809868834999989</v>
      </c>
      <c r="U114" s="168">
        <f t="shared" si="22"/>
        <v>0.40441102034643001</v>
      </c>
      <c r="V114" s="169">
        <f t="shared" si="20"/>
        <v>120.68621112240002</v>
      </c>
      <c r="W114" s="186">
        <f t="shared" si="18"/>
        <v>33.893634570662812</v>
      </c>
      <c r="X114" s="170">
        <f t="shared" si="19"/>
        <v>154.57984569306285</v>
      </c>
      <c r="Y114" s="34"/>
    </row>
    <row r="115" spans="17:26" x14ac:dyDescent="0.15">
      <c r="Q115">
        <f t="shared" si="21"/>
        <v>32</v>
      </c>
      <c r="R115" s="166">
        <v>9</v>
      </c>
      <c r="S115" s="1">
        <f>$U$104*$C$24</f>
        <v>754.28881951500011</v>
      </c>
      <c r="T115" s="167">
        <f>$U$104*(100%-$C$24)</f>
        <v>83.809868834999989</v>
      </c>
      <c r="U115" s="168">
        <f t="shared" si="22"/>
        <v>0.40677008463178399</v>
      </c>
      <c r="V115" s="169">
        <f t="shared" si="20"/>
        <v>120.68621112240002</v>
      </c>
      <c r="W115" s="186">
        <f t="shared" si="18"/>
        <v>34.091347438991662</v>
      </c>
      <c r="X115" s="170">
        <f t="shared" si="19"/>
        <v>154.77755856139169</v>
      </c>
      <c r="Y115" s="34"/>
    </row>
    <row r="116" spans="17:26" x14ac:dyDescent="0.15">
      <c r="Q116">
        <f t="shared" si="21"/>
        <v>33</v>
      </c>
      <c r="R116" s="166">
        <v>10</v>
      </c>
      <c r="S116" s="1">
        <f>$U$104*$C$24</f>
        <v>754.28881951500011</v>
      </c>
      <c r="T116" s="167">
        <f>$U$104*(100%-$C$24)</f>
        <v>83.809868834999989</v>
      </c>
      <c r="U116" s="168">
        <f t="shared" si="22"/>
        <v>0.40914291012546899</v>
      </c>
      <c r="V116" s="169">
        <f t="shared" si="20"/>
        <v>120.68621112240002</v>
      </c>
      <c r="W116" s="186">
        <f t="shared" si="18"/>
        <v>34.290213632385743</v>
      </c>
      <c r="X116" s="170">
        <f t="shared" si="19"/>
        <v>154.97642475478577</v>
      </c>
      <c r="Y116" s="34"/>
    </row>
    <row r="117" spans="17:26" x14ac:dyDescent="0.15">
      <c r="Q117">
        <f t="shared" si="21"/>
        <v>34</v>
      </c>
      <c r="R117" s="166">
        <v>11</v>
      </c>
      <c r="S117" s="1">
        <f>$U$104*$C$24</f>
        <v>754.28881951500011</v>
      </c>
      <c r="T117" s="167">
        <f>$U$104*(100%-$C$24)</f>
        <v>83.809868834999989</v>
      </c>
      <c r="U117" s="168">
        <f t="shared" si="22"/>
        <v>0.41152957710120103</v>
      </c>
      <c r="V117" s="169">
        <f t="shared" si="20"/>
        <v>120.68621112240002</v>
      </c>
      <c r="W117" s="186">
        <f t="shared" si="18"/>
        <v>34.49023987857467</v>
      </c>
      <c r="X117" s="170">
        <f t="shared" si="19"/>
        <v>155.17645100097468</v>
      </c>
      <c r="Y117" s="34"/>
    </row>
    <row r="118" spans="17:26" x14ac:dyDescent="0.15">
      <c r="Q118">
        <f t="shared" si="21"/>
        <v>35</v>
      </c>
      <c r="R118" s="166">
        <v>12</v>
      </c>
      <c r="S118" s="1">
        <f>$U$104*$C$24</f>
        <v>754.28881951500011</v>
      </c>
      <c r="T118" s="167">
        <f>$U$104*(100%-$C$24)</f>
        <v>83.809868834999989</v>
      </c>
      <c r="U118" s="168">
        <f t="shared" si="22"/>
        <v>0.41393016630095802</v>
      </c>
      <c r="V118" s="169">
        <f t="shared" si="20"/>
        <v>120.68621112240002</v>
      </c>
      <c r="W118" s="186">
        <f t="shared" si="18"/>
        <v>34.691432944533027</v>
      </c>
      <c r="X118" s="170">
        <f t="shared" si="19"/>
        <v>155.37764406693304</v>
      </c>
      <c r="Y118" s="34"/>
    </row>
    <row r="119" spans="17:26" ht="16" x14ac:dyDescent="0.3">
      <c r="S119" s="118">
        <f>IF($C$17&gt;=S104,SUM(S107:S118),"")</f>
        <v>9051.4658341800005</v>
      </c>
      <c r="T119" s="119">
        <f>IF($C$17&gt;=S104,SUM(T107:T118),"")</f>
        <v>1005.7184260199998</v>
      </c>
      <c r="U119" s="108">
        <f>IF(Y120="",0,AVERAGE(U107:U118))</f>
        <v>0.40097886656677889</v>
      </c>
      <c r="V119" s="120">
        <f>IF($C$17&gt;=S104,SUM(V107:V118),"")</f>
        <v>1448.2345334688</v>
      </c>
      <c r="W119" s="121">
        <f>IF($C$17&gt;=S104,SUM(W107:W118),"")</f>
        <v>403.27183455082451</v>
      </c>
      <c r="X119" s="121">
        <f>IF($C$17&gt;=S104,SUM(X107:X118),"")</f>
        <v>1851.5063680196249</v>
      </c>
      <c r="Y119" s="34"/>
    </row>
    <row r="120" spans="17:26" x14ac:dyDescent="0.15">
      <c r="W120" s="222" t="s">
        <v>53</v>
      </c>
      <c r="X120" s="117">
        <f>IF(AND($D$36="Yes",$D$38+1=S104,$C$17&gt;=S104),$B$38,0)</f>
        <v>0</v>
      </c>
      <c r="Y120" s="142">
        <f>IF(X119="",0,IF(AND($C$41="No",$D$36="No"),X119,IF(AND($C$41="Yes",$D$36="Yes"),(X119-X120)-($D$9+$B$38)*$E$41,IF(AND($C$41="Yes",$D$36="No"),X119-($D$9*$E$41),IF(AND($C$41="No",$D$36="Yes"),X119-X120,X119)))))</f>
        <v>1851.5063680196249</v>
      </c>
      <c r="Z120" s="164"/>
    </row>
    <row r="121" spans="17:26" ht="14" thickBot="1" x14ac:dyDescent="0.2">
      <c r="Y121" s="245" t="s">
        <v>85</v>
      </c>
    </row>
    <row r="122" spans="17:26" ht="17" thickBot="1" x14ac:dyDescent="0.25">
      <c r="R122" s="126" t="s">
        <v>48</v>
      </c>
      <c r="S122" s="127">
        <v>4</v>
      </c>
      <c r="T122" s="154" t="s">
        <v>66</v>
      </c>
      <c r="U122" s="143">
        <f>U104-($C$34*U104)</f>
        <v>835.58439228495013</v>
      </c>
      <c r="V122" s="155" t="s">
        <v>68</v>
      </c>
      <c r="W122" s="185">
        <f>ROUND($C$22/12,15)</f>
        <v>5.8333333333329997E-3</v>
      </c>
      <c r="X122" s="261">
        <f>IF(X137="",0,Y105/POWER($C$34+1,1)/POWER($E$41+1,S122))</f>
        <v>8882.4640714584039</v>
      </c>
      <c r="Y122" s="246">
        <f>U122*12</f>
        <v>10027.012707419402</v>
      </c>
    </row>
    <row r="123" spans="17:26" x14ac:dyDescent="0.15">
      <c r="U123" s="183" t="s">
        <v>76</v>
      </c>
      <c r="V123" s="166">
        <f>IF(S122&lt;=$C$29,$C$26,IF(AND(S122&gt;$C$29,$B$32="Yes"),AVERAGE(U125:U136),$D$32))</f>
        <v>0.16</v>
      </c>
      <c r="Y123" s="250">
        <f>IF(X122&gt;0,($D$12)/POWER($C$34+1,S122),0)</f>
        <v>9997.2915669349022</v>
      </c>
    </row>
    <row r="124" spans="17:26" x14ac:dyDescent="0.15">
      <c r="R124" s="122" t="s">
        <v>70</v>
      </c>
      <c r="S124" s="124">
        <f>$C$24</f>
        <v>0.9</v>
      </c>
      <c r="T124" s="125">
        <f>100%-$S$88</f>
        <v>9.9999999999999978E-2</v>
      </c>
      <c r="U124" s="112" t="s">
        <v>72</v>
      </c>
      <c r="V124" s="115" t="s">
        <v>71</v>
      </c>
      <c r="W124" s="115" t="s">
        <v>67</v>
      </c>
      <c r="X124" s="116" t="s">
        <v>69</v>
      </c>
    </row>
    <row r="125" spans="17:26" x14ac:dyDescent="0.15">
      <c r="Q125">
        <f>Q118+1</f>
        <v>36</v>
      </c>
      <c r="R125" s="166">
        <v>1</v>
      </c>
      <c r="S125" s="1">
        <f>$U$122*$C$24</f>
        <v>752.02595305645514</v>
      </c>
      <c r="T125" s="167">
        <f>$U$122*(100%-$C$24)</f>
        <v>83.55843922849499</v>
      </c>
      <c r="U125" s="168">
        <f>ROUND(U118*(1+$W$104),60)</f>
        <v>0.416344758937713</v>
      </c>
      <c r="V125" s="169">
        <f>S125*$V$123</f>
        <v>120.32415248903283</v>
      </c>
      <c r="W125" s="186">
        <f t="shared" ref="W125:W136" si="23">T125*U125</f>
        <v>34.789118237799286</v>
      </c>
      <c r="X125" s="170">
        <f t="shared" ref="X125:X136" si="24">W125+V125</f>
        <v>155.11327072683213</v>
      </c>
    </row>
    <row r="126" spans="17:26" x14ac:dyDescent="0.15">
      <c r="Q126">
        <f>Q125+1</f>
        <v>37</v>
      </c>
      <c r="R126" s="166">
        <v>2</v>
      </c>
      <c r="S126" s="1">
        <f>$U$122*$C$24</f>
        <v>752.02595305645514</v>
      </c>
      <c r="T126" s="167">
        <f>$U$122*(100%-$C$24)</f>
        <v>83.55843922849499</v>
      </c>
      <c r="U126" s="168">
        <f>ROUND(U125*(1+$W$122),60)</f>
        <v>0.41877343669818301</v>
      </c>
      <c r="V126" s="169">
        <f t="shared" ref="V126:V136" si="25">S126*$V$123</f>
        <v>120.32415248903283</v>
      </c>
      <c r="W126" s="186">
        <f t="shared" si="23"/>
        <v>34.992054760853115</v>
      </c>
      <c r="X126" s="170">
        <f t="shared" si="24"/>
        <v>155.31620724988593</v>
      </c>
    </row>
    <row r="127" spans="17:26" x14ac:dyDescent="0.15">
      <c r="Q127">
        <f t="shared" ref="Q127:Q136" si="26">Q126+1</f>
        <v>38</v>
      </c>
      <c r="R127" s="166">
        <v>3</v>
      </c>
      <c r="S127" s="1">
        <f>$U$122*$C$24</f>
        <v>752.02595305645514</v>
      </c>
      <c r="T127" s="167">
        <f>$U$122*(100%-$C$24)</f>
        <v>83.55843922849499</v>
      </c>
      <c r="U127" s="168">
        <f t="shared" ref="U127:U136" si="27">ROUND(U126*(1+$W$122),60)</f>
        <v>0.42121628174558901</v>
      </c>
      <c r="V127" s="169">
        <f t="shared" si="25"/>
        <v>120.32415248903283</v>
      </c>
      <c r="W127" s="186">
        <f t="shared" si="23"/>
        <v>35.196175080291425</v>
      </c>
      <c r="X127" s="170">
        <f t="shared" si="24"/>
        <v>155.52032756932425</v>
      </c>
    </row>
    <row r="128" spans="17:26" x14ac:dyDescent="0.15">
      <c r="Q128">
        <f t="shared" si="26"/>
        <v>39</v>
      </c>
      <c r="R128" s="166">
        <v>4</v>
      </c>
      <c r="S128" s="1">
        <f>$U$122*$C$24</f>
        <v>752.02595305645514</v>
      </c>
      <c r="T128" s="167">
        <f>$U$122*(100%-$C$24)</f>
        <v>83.55843922849499</v>
      </c>
      <c r="U128" s="168">
        <f t="shared" si="27"/>
        <v>0.42367337672243799</v>
      </c>
      <c r="V128" s="169">
        <f t="shared" si="25"/>
        <v>120.32415248903283</v>
      </c>
      <c r="W128" s="186">
        <f t="shared" si="23"/>
        <v>35.4014861015931</v>
      </c>
      <c r="X128" s="170">
        <f t="shared" si="24"/>
        <v>155.72563859062592</v>
      </c>
    </row>
    <row r="129" spans="17:25" x14ac:dyDescent="0.15">
      <c r="Q129">
        <f t="shared" si="26"/>
        <v>40</v>
      </c>
      <c r="R129" s="166">
        <v>5</v>
      </c>
      <c r="S129" s="1">
        <f>$U$122*$C$24</f>
        <v>752.02595305645514</v>
      </c>
      <c r="T129" s="167">
        <f>$U$122*(100%-$C$24)</f>
        <v>83.55843922849499</v>
      </c>
      <c r="U129" s="168">
        <f t="shared" si="27"/>
        <v>0.42614480475331901</v>
      </c>
      <c r="V129" s="169">
        <f t="shared" si="25"/>
        <v>120.32415248903283</v>
      </c>
      <c r="W129" s="186">
        <f t="shared" si="23"/>
        <v>35.60799477051907</v>
      </c>
      <c r="X129" s="170">
        <f t="shared" si="24"/>
        <v>155.9321472595519</v>
      </c>
    </row>
    <row r="130" spans="17:25" x14ac:dyDescent="0.15">
      <c r="Q130">
        <f t="shared" si="26"/>
        <v>41</v>
      </c>
      <c r="R130" s="166">
        <v>6</v>
      </c>
      <c r="S130" s="1">
        <f>$U$122*$C$24</f>
        <v>752.02595305645514</v>
      </c>
      <c r="T130" s="167">
        <f>$U$122*(100%-$C$24)</f>
        <v>83.55843922849499</v>
      </c>
      <c r="U130" s="168">
        <f t="shared" si="27"/>
        <v>0.42863064944771301</v>
      </c>
      <c r="V130" s="169">
        <f t="shared" si="25"/>
        <v>120.32415248903283</v>
      </c>
      <c r="W130" s="186">
        <f t="shared" si="23"/>
        <v>35.815708073347068</v>
      </c>
      <c r="X130" s="170">
        <f t="shared" si="24"/>
        <v>156.13986056237991</v>
      </c>
    </row>
    <row r="131" spans="17:25" x14ac:dyDescent="0.15">
      <c r="Q131">
        <f t="shared" si="26"/>
        <v>42</v>
      </c>
      <c r="R131" s="166">
        <v>7</v>
      </c>
      <c r="S131" s="1">
        <f>$U$122*$C$24</f>
        <v>752.02595305645514</v>
      </c>
      <c r="T131" s="167">
        <f>$U$122*(100%-$C$24)</f>
        <v>83.55843922849499</v>
      </c>
      <c r="U131" s="168">
        <f t="shared" si="27"/>
        <v>0.43113099490282403</v>
      </c>
      <c r="V131" s="169">
        <f t="shared" si="25"/>
        <v>120.32415248903283</v>
      </c>
      <c r="W131" s="186">
        <f t="shared" si="23"/>
        <v>36.024633037108202</v>
      </c>
      <c r="X131" s="170">
        <f t="shared" si="24"/>
        <v>156.34878552614103</v>
      </c>
    </row>
    <row r="132" spans="17:25" x14ac:dyDescent="0.15">
      <c r="Q132">
        <f t="shared" si="26"/>
        <v>43</v>
      </c>
      <c r="R132" s="166">
        <v>8</v>
      </c>
      <c r="S132" s="1">
        <f>$U$122*$C$24</f>
        <v>752.02595305645514</v>
      </c>
      <c r="T132" s="167">
        <f>$U$122*(100%-$C$24)</f>
        <v>83.55843922849499</v>
      </c>
      <c r="U132" s="168">
        <f t="shared" si="27"/>
        <v>0.43364592570642402</v>
      </c>
      <c r="V132" s="169">
        <f t="shared" si="25"/>
        <v>120.32415248903283</v>
      </c>
      <c r="W132" s="186">
        <f t="shared" si="23"/>
        <v>36.234776729824688</v>
      </c>
      <c r="X132" s="170">
        <f t="shared" si="24"/>
        <v>156.55892921885751</v>
      </c>
    </row>
    <row r="133" spans="17:25" x14ac:dyDescent="0.15">
      <c r="Q133">
        <f t="shared" si="26"/>
        <v>44</v>
      </c>
      <c r="R133" s="166">
        <v>9</v>
      </c>
      <c r="S133" s="1">
        <f>$U$122*$C$24</f>
        <v>752.02595305645514</v>
      </c>
      <c r="T133" s="167">
        <f>$U$122*(100%-$C$24)</f>
        <v>83.55843922849499</v>
      </c>
      <c r="U133" s="168">
        <f t="shared" si="27"/>
        <v>0.43617552693971101</v>
      </c>
      <c r="V133" s="169">
        <f t="shared" si="25"/>
        <v>120.32415248903283</v>
      </c>
      <c r="W133" s="186">
        <f t="shared" si="23"/>
        <v>36.44614626074862</v>
      </c>
      <c r="X133" s="170">
        <f t="shared" si="24"/>
        <v>156.77029874978143</v>
      </c>
    </row>
    <row r="134" spans="17:25" x14ac:dyDescent="0.15">
      <c r="Q134">
        <f t="shared" si="26"/>
        <v>45</v>
      </c>
      <c r="R134" s="166">
        <v>10</v>
      </c>
      <c r="S134" s="1">
        <f>$U$122*$C$24</f>
        <v>752.02595305645514</v>
      </c>
      <c r="T134" s="167">
        <f>$U$122*(100%-$C$24)</f>
        <v>83.55843922849499</v>
      </c>
      <c r="U134" s="168">
        <f t="shared" si="27"/>
        <v>0.43871988418019198</v>
      </c>
      <c r="V134" s="169">
        <f t="shared" si="25"/>
        <v>120.32415248903283</v>
      </c>
      <c r="W134" s="186">
        <f t="shared" si="23"/>
        <v>36.658748780602934</v>
      </c>
      <c r="X134" s="170">
        <f t="shared" si="24"/>
        <v>156.98290126963576</v>
      </c>
    </row>
    <row r="135" spans="17:25" x14ac:dyDescent="0.15">
      <c r="Q135">
        <f t="shared" si="26"/>
        <v>46</v>
      </c>
      <c r="R135" s="166">
        <v>11</v>
      </c>
      <c r="S135" s="1">
        <f>$U$122*$C$24</f>
        <v>752.02595305645514</v>
      </c>
      <c r="T135" s="167">
        <f>$U$122*(100%-$C$24)</f>
        <v>83.55843922849499</v>
      </c>
      <c r="U135" s="168">
        <f t="shared" si="27"/>
        <v>0.44127908350457601</v>
      </c>
      <c r="V135" s="169">
        <f t="shared" si="25"/>
        <v>120.32415248903283</v>
      </c>
      <c r="W135" s="186">
        <f t="shared" si="23"/>
        <v>36.872591481823079</v>
      </c>
      <c r="X135" s="170">
        <f t="shared" si="24"/>
        <v>157.19674397085589</v>
      </c>
    </row>
    <row r="136" spans="17:25" x14ac:dyDescent="0.15">
      <c r="Q136">
        <f t="shared" si="26"/>
        <v>47</v>
      </c>
      <c r="R136" s="166">
        <v>12</v>
      </c>
      <c r="S136" s="1">
        <f>$U$122*$C$24</f>
        <v>752.02595305645514</v>
      </c>
      <c r="T136" s="167">
        <f>$U$122*(100%-$C$24)</f>
        <v>83.55843922849499</v>
      </c>
      <c r="U136" s="168">
        <f t="shared" si="27"/>
        <v>0.44385321149168599</v>
      </c>
      <c r="V136" s="169">
        <f t="shared" si="25"/>
        <v>120.32415248903283</v>
      </c>
      <c r="W136" s="186">
        <f t="shared" si="23"/>
        <v>37.08768159880038</v>
      </c>
      <c r="X136" s="170">
        <f t="shared" si="24"/>
        <v>157.4118340878332</v>
      </c>
    </row>
    <row r="137" spans="17:25" ht="16" x14ac:dyDescent="0.3">
      <c r="S137" s="118">
        <f>IF($C$17&gt;=S122,SUM(S125:S136),"")</f>
        <v>9024.3114366774626</v>
      </c>
      <c r="T137" s="119">
        <f>IF($C$17&gt;=S122,SUM(T125:T136),"")</f>
        <v>1002.7012707419399</v>
      </c>
      <c r="U137" s="108">
        <f>IF(Y138="",0,AVERAGE(U125:U136))</f>
        <v>0.42996566125253072</v>
      </c>
      <c r="V137" s="120">
        <f>IF($C$17&gt;=S122,SUM(V125:V136),"")</f>
        <v>1443.8898298683935</v>
      </c>
      <c r="W137" s="121">
        <f>IF($C$17&gt;=S122,SUM(W125:W136),"")</f>
        <v>431.12711491331095</v>
      </c>
      <c r="X137" s="121">
        <f>IF($C$17&gt;=S122,SUM(X125:X136),"")</f>
        <v>1875.0169447817048</v>
      </c>
    </row>
    <row r="138" spans="17:25" x14ac:dyDescent="0.15">
      <c r="T138" s="198">
        <f>SUM(S137:T137)</f>
        <v>10027.012707419402</v>
      </c>
      <c r="W138" s="222" t="s">
        <v>53</v>
      </c>
      <c r="X138" s="117">
        <f>IF(AND($D$36="Yes",$D$38+1=S122,$C$17&gt;=S122),$B$38,0)</f>
        <v>0</v>
      </c>
      <c r="Y138" s="142">
        <f>IF(X137="",0,IF(AND($C$41="No",$D$36="No"),X137,IF(AND($C$41="Yes",$D$36="Yes"),(X137-X138)-($D$9+$B$38)*$E$41,IF(AND($C$41="Yes",$D$36="No"),X137-($D$9*$E$41),IF(AND($C$41="No",$D$36="Yes"),X137-X138,X137)))))</f>
        <v>1875.0169447817048</v>
      </c>
    </row>
    <row r="139" spans="17:25" ht="14" thickBot="1" x14ac:dyDescent="0.2">
      <c r="Y139" s="245" t="s">
        <v>85</v>
      </c>
    </row>
    <row r="140" spans="17:25" ht="17" thickBot="1" x14ac:dyDescent="0.25">
      <c r="R140" s="126" t="s">
        <v>48</v>
      </c>
      <c r="S140" s="127">
        <v>5</v>
      </c>
      <c r="T140" s="154" t="s">
        <v>66</v>
      </c>
      <c r="U140" s="143">
        <f>U122-($C$34*U122)</f>
        <v>833.07763910809524</v>
      </c>
      <c r="V140" s="155" t="s">
        <v>68</v>
      </c>
      <c r="W140" s="185">
        <f>ROUND($C$22/12,15)</f>
        <v>5.8333333333329997E-3</v>
      </c>
      <c r="X140" s="261">
        <f>IF(X155="",0,Y123/POWER($C$34+1,1)/POWER($E$41+1,S140))</f>
        <v>8597.9576527295831</v>
      </c>
      <c r="Y140" s="246">
        <f>U140*12</f>
        <v>9996.9316692971424</v>
      </c>
    </row>
    <row r="141" spans="17:25" x14ac:dyDescent="0.15">
      <c r="U141" s="183" t="s">
        <v>76</v>
      </c>
      <c r="V141" s="166">
        <f>IF(S140&lt;=$C$29,$C$26,IF(AND(S140&gt;$C$29,$B$32="Yes"),AVERAGE(U143:U154),$D$32))</f>
        <v>0.16</v>
      </c>
      <c r="Y141" s="250">
        <f>IF(X140&gt;0,($D$12)/POWER($C$34+1,S140),0)</f>
        <v>9967.3893987386873</v>
      </c>
    </row>
    <row r="142" spans="17:25" x14ac:dyDescent="0.15">
      <c r="R142" s="122" t="s">
        <v>70</v>
      </c>
      <c r="S142" s="124">
        <f>$C$24</f>
        <v>0.9</v>
      </c>
      <c r="T142" s="125">
        <f>100%-$S$88</f>
        <v>9.9999999999999978E-2</v>
      </c>
      <c r="U142" s="112" t="s">
        <v>72</v>
      </c>
      <c r="V142" s="115" t="s">
        <v>71</v>
      </c>
      <c r="W142" s="115" t="s">
        <v>67</v>
      </c>
      <c r="X142" s="116" t="s">
        <v>69</v>
      </c>
    </row>
    <row r="143" spans="17:25" x14ac:dyDescent="0.15">
      <c r="Q143">
        <f>Q136+1</f>
        <v>48</v>
      </c>
      <c r="R143" s="166">
        <v>1</v>
      </c>
      <c r="S143" s="1">
        <f>$U$140*$C$24</f>
        <v>749.76987519728573</v>
      </c>
      <c r="T143" s="167">
        <f>$U$140*(100%-$C$24)</f>
        <v>83.307763910809498</v>
      </c>
      <c r="U143" s="168">
        <f>ROUND(U136*(1+$W$140),60)</f>
        <v>0.446442355225387</v>
      </c>
      <c r="V143" s="169">
        <f>S143*$V$141</f>
        <v>119.96318003156571</v>
      </c>
      <c r="W143" s="186">
        <f>T143*U143</f>
        <v>37.192114328902292</v>
      </c>
      <c r="X143" s="170">
        <f>W143+V143</f>
        <v>157.15529436046802</v>
      </c>
    </row>
    <row r="144" spans="17:25" x14ac:dyDescent="0.15">
      <c r="Q144">
        <f>Q143+1</f>
        <v>49</v>
      </c>
      <c r="R144" s="166">
        <v>2</v>
      </c>
      <c r="S144" s="1">
        <f>$U$140*$C$24</f>
        <v>749.76987519728573</v>
      </c>
      <c r="T144" s="167">
        <f>$U$140*(100%-$C$24)</f>
        <v>83.307763910809498</v>
      </c>
      <c r="U144" s="168">
        <f>ROUND(U143*(1+$W$140),60)</f>
        <v>0.44904660229753501</v>
      </c>
      <c r="V144" s="169">
        <f t="shared" ref="V144:V154" si="28">S144*$V$141</f>
        <v>119.96318003156571</v>
      </c>
      <c r="W144" s="186">
        <f t="shared" ref="W144:W154" si="29">T144*U144</f>
        <v>37.409068329154216</v>
      </c>
      <c r="X144" s="170">
        <f t="shared" ref="X144:X154" si="30">W144+V144</f>
        <v>157.37224836071994</v>
      </c>
    </row>
    <row r="145" spans="17:25" x14ac:dyDescent="0.15">
      <c r="Q145">
        <f t="shared" ref="Q145:Q154" si="31">Q144+1</f>
        <v>50</v>
      </c>
      <c r="R145" s="166">
        <v>3</v>
      </c>
      <c r="S145" s="1">
        <f>$U$140*$C$24</f>
        <v>749.76987519728573</v>
      </c>
      <c r="T145" s="167">
        <f>$U$140*(100%-$C$24)</f>
        <v>83.307763910809498</v>
      </c>
      <c r="U145" s="168">
        <f t="shared" ref="U145:U154" si="32">ROUND(U144*(1+$W$140),60)</f>
        <v>0.45166604081093698</v>
      </c>
      <c r="V145" s="169">
        <f t="shared" si="28"/>
        <v>119.96318003156571</v>
      </c>
      <c r="W145" s="186">
        <f t="shared" si="29"/>
        <v>37.627287894407587</v>
      </c>
      <c r="X145" s="170">
        <f t="shared" si="30"/>
        <v>157.59046792597331</v>
      </c>
    </row>
    <row r="146" spans="17:25" x14ac:dyDescent="0.15">
      <c r="Q146">
        <f t="shared" si="31"/>
        <v>51</v>
      </c>
      <c r="R146" s="166">
        <v>4</v>
      </c>
      <c r="S146" s="1">
        <f>$U$140*$C$24</f>
        <v>749.76987519728573</v>
      </c>
      <c r="T146" s="167">
        <f>$U$140*(100%-$C$24)</f>
        <v>83.307763910809498</v>
      </c>
      <c r="U146" s="168">
        <f t="shared" si="32"/>
        <v>0.454300759382334</v>
      </c>
      <c r="V146" s="169">
        <f t="shared" si="28"/>
        <v>119.96318003156571</v>
      </c>
      <c r="W146" s="186">
        <f t="shared" si="29"/>
        <v>37.846780407124953</v>
      </c>
      <c r="X146" s="170">
        <f t="shared" si="30"/>
        <v>157.80996043869067</v>
      </c>
    </row>
    <row r="147" spans="17:25" x14ac:dyDescent="0.15">
      <c r="Q147">
        <f t="shared" si="31"/>
        <v>52</v>
      </c>
      <c r="R147" s="166">
        <v>5</v>
      </c>
      <c r="S147" s="1">
        <f>$U$140*$C$24</f>
        <v>749.76987519728573</v>
      </c>
      <c r="T147" s="167">
        <f>$U$140*(100%-$C$24)</f>
        <v>83.307763910809498</v>
      </c>
      <c r="U147" s="168">
        <f t="shared" si="32"/>
        <v>0.45695084714539702</v>
      </c>
      <c r="V147" s="169">
        <f t="shared" si="28"/>
        <v>119.96318003156571</v>
      </c>
      <c r="W147" s="186">
        <f t="shared" si="29"/>
        <v>38.067553292833132</v>
      </c>
      <c r="X147" s="170">
        <f t="shared" si="30"/>
        <v>158.03073332439885</v>
      </c>
    </row>
    <row r="148" spans="17:25" x14ac:dyDescent="0.15">
      <c r="Q148">
        <f t="shared" si="31"/>
        <v>53</v>
      </c>
      <c r="R148" s="166">
        <v>6</v>
      </c>
      <c r="S148" s="1">
        <f>$U$140*$C$24</f>
        <v>749.76987519728573</v>
      </c>
      <c r="T148" s="167">
        <f>$U$140*(100%-$C$24)</f>
        <v>83.307763910809498</v>
      </c>
      <c r="U148" s="168">
        <f t="shared" si="32"/>
        <v>0.45961639375374502</v>
      </c>
      <c r="V148" s="169">
        <f t="shared" si="28"/>
        <v>119.96318003156571</v>
      </c>
      <c r="W148" s="186">
        <f t="shared" si="29"/>
        <v>38.28961402037465</v>
      </c>
      <c r="X148" s="170">
        <f t="shared" si="30"/>
        <v>158.25279405194036</v>
      </c>
    </row>
    <row r="149" spans="17:25" x14ac:dyDescent="0.15">
      <c r="Q149">
        <f t="shared" si="31"/>
        <v>54</v>
      </c>
      <c r="R149" s="166">
        <v>7</v>
      </c>
      <c r="S149" s="1">
        <f>$U$140*$C$24</f>
        <v>749.76987519728573</v>
      </c>
      <c r="T149" s="167">
        <f>$U$140*(100%-$C$24)</f>
        <v>83.307763910809498</v>
      </c>
      <c r="U149" s="168">
        <f t="shared" si="32"/>
        <v>0.46229748938397502</v>
      </c>
      <c r="V149" s="169">
        <f t="shared" si="28"/>
        <v>119.96318003156571</v>
      </c>
      <c r="W149" s="186">
        <f t="shared" si="29"/>
        <v>38.512970102160153</v>
      </c>
      <c r="X149" s="170">
        <f t="shared" si="30"/>
        <v>158.47615013372587</v>
      </c>
    </row>
    <row r="150" spans="17:25" x14ac:dyDescent="0.15">
      <c r="Q150">
        <f t="shared" si="31"/>
        <v>55</v>
      </c>
      <c r="R150" s="166">
        <v>8</v>
      </c>
      <c r="S150" s="1">
        <f>$U$140*$C$24</f>
        <v>749.76987519728573</v>
      </c>
      <c r="T150" s="167">
        <f>$U$140*(100%-$C$24)</f>
        <v>83.307763910809498</v>
      </c>
      <c r="U150" s="168">
        <f t="shared" si="32"/>
        <v>0.46499422473871499</v>
      </c>
      <c r="V150" s="169">
        <f t="shared" si="28"/>
        <v>119.96318003156571</v>
      </c>
      <c r="W150" s="186">
        <f t="shared" si="29"/>
        <v>38.737629094422765</v>
      </c>
      <c r="X150" s="170">
        <f t="shared" si="30"/>
        <v>158.70080912598848</v>
      </c>
    </row>
    <row r="151" spans="17:25" x14ac:dyDescent="0.15">
      <c r="Q151">
        <f t="shared" si="31"/>
        <v>56</v>
      </c>
      <c r="R151" s="166">
        <v>9</v>
      </c>
      <c r="S151" s="1">
        <f>$U$140*$C$24</f>
        <v>749.76987519728573</v>
      </c>
      <c r="T151" s="167">
        <f>$U$140*(100%-$C$24)</f>
        <v>83.307763910809498</v>
      </c>
      <c r="U151" s="168">
        <f t="shared" si="32"/>
        <v>0.46770669104969098</v>
      </c>
      <c r="V151" s="169">
        <f t="shared" si="28"/>
        <v>119.96318003156571</v>
      </c>
      <c r="W151" s="186">
        <f t="shared" si="29"/>
        <v>38.963598597473577</v>
      </c>
      <c r="X151" s="170">
        <f t="shared" si="30"/>
        <v>158.92677862903929</v>
      </c>
    </row>
    <row r="152" spans="17:25" x14ac:dyDescent="0.15">
      <c r="Q152">
        <f t="shared" si="31"/>
        <v>57</v>
      </c>
      <c r="R152" s="166">
        <v>10</v>
      </c>
      <c r="S152" s="1">
        <f>$U$140*$C$24</f>
        <v>749.76987519728573</v>
      </c>
      <c r="T152" s="167">
        <f>$U$140*(100%-$C$24)</f>
        <v>83.307763910809498</v>
      </c>
      <c r="U152" s="168">
        <f t="shared" si="32"/>
        <v>0.47043498008081402</v>
      </c>
      <c r="V152" s="169">
        <f t="shared" si="28"/>
        <v>119.96318003156571</v>
      </c>
      <c r="W152" s="186">
        <f t="shared" si="29"/>
        <v>39.190886255958823</v>
      </c>
      <c r="X152" s="170">
        <f t="shared" si="30"/>
        <v>159.15406628752453</v>
      </c>
    </row>
    <row r="153" spans="17:25" x14ac:dyDescent="0.15">
      <c r="Q153">
        <f t="shared" si="31"/>
        <v>58</v>
      </c>
      <c r="R153" s="166">
        <v>11</v>
      </c>
      <c r="S153" s="1">
        <f>$U$140*$C$24</f>
        <v>749.76987519728573</v>
      </c>
      <c r="T153" s="167">
        <f>$U$140*(100%-$C$24)</f>
        <v>83.307763910809498</v>
      </c>
      <c r="U153" s="168">
        <f t="shared" si="32"/>
        <v>0.47317918413128501</v>
      </c>
      <c r="V153" s="169">
        <f t="shared" si="28"/>
        <v>119.96318003156571</v>
      </c>
      <c r="W153" s="186">
        <f t="shared" si="29"/>
        <v>39.419499759118551</v>
      </c>
      <c r="X153" s="170">
        <f t="shared" si="30"/>
        <v>159.38267979068428</v>
      </c>
    </row>
    <row r="154" spans="17:25" x14ac:dyDescent="0.15">
      <c r="Q154">
        <f t="shared" si="31"/>
        <v>59</v>
      </c>
      <c r="R154" s="166">
        <v>12</v>
      </c>
      <c r="S154" s="1">
        <f>$U$140*$C$24</f>
        <v>749.76987519728573</v>
      </c>
      <c r="T154" s="167">
        <f>$U$140*(100%-$C$24)</f>
        <v>83.307763910809498</v>
      </c>
      <c r="U154" s="168">
        <f t="shared" si="32"/>
        <v>0.47593939603871699</v>
      </c>
      <c r="V154" s="169">
        <f t="shared" si="28"/>
        <v>119.96318003156571</v>
      </c>
      <c r="W154" s="186">
        <f t="shared" si="29"/>
        <v>39.649446841046696</v>
      </c>
      <c r="X154" s="170">
        <f t="shared" si="30"/>
        <v>159.6126268726124</v>
      </c>
    </row>
    <row r="155" spans="17:25" ht="16" x14ac:dyDescent="0.3">
      <c r="S155" s="118">
        <f>IF($C$17&gt;=S140,SUM(S143:S154),"")</f>
        <v>8997.2385023674287</v>
      </c>
      <c r="T155" s="119">
        <f>IF($C$17&gt;=S140,SUM(T143:T154),"")</f>
        <v>999.69316692971404</v>
      </c>
      <c r="U155" s="108">
        <f>IF(Y156="",0,AVERAGE(U143:U154))</f>
        <v>0.46104791366987768</v>
      </c>
      <c r="V155" s="120">
        <f>IF($C$17&gt;=S140,SUM(V143:V154),"")</f>
        <v>1439.5581603787887</v>
      </c>
      <c r="W155" s="121">
        <f>IF($C$17&gt;=S140,SUM(W143:W154),"")</f>
        <v>460.9064489229774</v>
      </c>
      <c r="X155" s="121">
        <f>IF($C$17&gt;=S140,SUM(X143:X154),"")</f>
        <v>1900.4646093017659</v>
      </c>
    </row>
    <row r="156" spans="17:25" x14ac:dyDescent="0.15">
      <c r="W156" s="222" t="s">
        <v>53</v>
      </c>
      <c r="X156" s="117">
        <f>IF(AND($D$36="Yes",$D$38+1=S140,$C$17&gt;=S140),$B$38,0)</f>
        <v>0</v>
      </c>
      <c r="Y156" s="142">
        <f>IF(X155="",0,IF(AND($C$41="No",$D$36="No"),X155,IF(AND($C$41="Yes",$D$36="Yes"),(X155-X156)-($D$9+$B$38)*$E$41,IF(AND($C$41="Yes",$D$36="No"),X155-($D$9*$E$41),IF(AND($C$41="No",$D$36="Yes"),X155-X156,X155)))))</f>
        <v>1900.4646093017659</v>
      </c>
    </row>
    <row r="157" spans="17:25" ht="14" thickBot="1" x14ac:dyDescent="0.2">
      <c r="Y157" s="245" t="s">
        <v>85</v>
      </c>
    </row>
    <row r="158" spans="17:25" ht="17" thickBot="1" x14ac:dyDescent="0.25">
      <c r="R158" s="126" t="s">
        <v>48</v>
      </c>
      <c r="S158" s="127">
        <v>6</v>
      </c>
      <c r="T158" s="154" t="s">
        <v>66</v>
      </c>
      <c r="U158" s="143">
        <f>U140-($C$34*U140)</f>
        <v>830.57840619077092</v>
      </c>
      <c r="V158" s="155" t="s">
        <v>68</v>
      </c>
      <c r="W158" s="185">
        <f>ROUND($C$22/12,15)</f>
        <v>5.8333333333329997E-3</v>
      </c>
      <c r="X158" s="261">
        <f>IF(X173="",0,Y141/POWER($C$34+1,1)/POWER($E$41+1,S158))</f>
        <v>8322.5640096502557</v>
      </c>
      <c r="Y158" s="246">
        <f>U158*12</f>
        <v>9966.940874289252</v>
      </c>
    </row>
    <row r="159" spans="17:25" x14ac:dyDescent="0.15">
      <c r="U159" s="183" t="s">
        <v>76</v>
      </c>
      <c r="V159" s="166">
        <f>IF(S158&lt;=$C$29,$C$26,IF(AND(S158&gt;$C$29,$B$32="Yes"),AVERAGE(U161:U172),$D$32))</f>
        <v>0.16</v>
      </c>
      <c r="Y159" s="250">
        <f>IF(X158&gt;0,($D$12)/POWER($C$34+1,S158),0)</f>
        <v>9937.5766687324922</v>
      </c>
    </row>
    <row r="160" spans="17:25" x14ac:dyDescent="0.15">
      <c r="R160" s="122" t="s">
        <v>70</v>
      </c>
      <c r="S160" s="124">
        <f>$C$24</f>
        <v>0.9</v>
      </c>
      <c r="T160" s="125">
        <f>100%-$S$88</f>
        <v>9.9999999999999978E-2</v>
      </c>
      <c r="U160" s="112" t="s">
        <v>72</v>
      </c>
      <c r="V160" s="115" t="s">
        <v>71</v>
      </c>
      <c r="W160" s="115" t="s">
        <v>67</v>
      </c>
      <c r="X160" s="116" t="s">
        <v>69</v>
      </c>
    </row>
    <row r="161" spans="17:25" x14ac:dyDescent="0.15">
      <c r="Q161">
        <f>Q154+1</f>
        <v>60</v>
      </c>
      <c r="R161" s="166">
        <v>1</v>
      </c>
      <c r="S161" s="1">
        <f>$U$158*$C$24</f>
        <v>747.52056557169385</v>
      </c>
      <c r="T161" s="167">
        <f>$U$158*(100%-$C$24)</f>
        <v>83.057840619077069</v>
      </c>
      <c r="U161" s="168">
        <f>ROUND(U154*(1+$W$158),60)</f>
        <v>0.47871570918227602</v>
      </c>
      <c r="V161" s="169">
        <f>S161*$V$159</f>
        <v>119.60329049147101</v>
      </c>
      <c r="W161" s="186">
        <f>T161*U161</f>
        <v>39.761093075109933</v>
      </c>
      <c r="X161" s="170">
        <f>W161+V161</f>
        <v>159.36438356658095</v>
      </c>
    </row>
    <row r="162" spans="17:25" x14ac:dyDescent="0.15">
      <c r="Q162">
        <f>Q161+1</f>
        <v>61</v>
      </c>
      <c r="R162" s="166">
        <v>2</v>
      </c>
      <c r="S162" s="1">
        <f>$U$158*$C$24</f>
        <v>747.52056557169385</v>
      </c>
      <c r="T162" s="167">
        <f>$U$158*(100%-$C$24)</f>
        <v>83.057840619077069</v>
      </c>
      <c r="U162" s="168">
        <f>ROUND(U161*(1+$W$158),60)</f>
        <v>0.481508217485839</v>
      </c>
      <c r="V162" s="169">
        <f t="shared" ref="V162:V172" si="33">S162*$V$159</f>
        <v>119.60329049147101</v>
      </c>
      <c r="W162" s="186">
        <f t="shared" ref="W162:W172" si="34">T162*U162</f>
        <v>39.993032784714714</v>
      </c>
      <c r="X162" s="170">
        <f t="shared" ref="X162:X172" si="35">W162+V162</f>
        <v>159.59632327618573</v>
      </c>
    </row>
    <row r="163" spans="17:25" x14ac:dyDescent="0.15">
      <c r="Q163">
        <f t="shared" ref="Q163:Q172" si="36">Q162+1</f>
        <v>62</v>
      </c>
      <c r="R163" s="166">
        <v>3</v>
      </c>
      <c r="S163" s="1">
        <f>$U$158*$C$24</f>
        <v>747.52056557169385</v>
      </c>
      <c r="T163" s="167">
        <f>$U$158*(100%-$C$24)</f>
        <v>83.057840619077069</v>
      </c>
      <c r="U163" s="168">
        <f t="shared" ref="U163:U172" si="37">ROUND(U162*(1+$W$158),60)</f>
        <v>0.484317015421173</v>
      </c>
      <c r="V163" s="169">
        <f t="shared" si="33"/>
        <v>119.60329049147101</v>
      </c>
      <c r="W163" s="186">
        <f t="shared" si="34"/>
        <v>40.22632547595888</v>
      </c>
      <c r="X163" s="170">
        <f t="shared" si="35"/>
        <v>159.8296159674299</v>
      </c>
    </row>
    <row r="164" spans="17:25" x14ac:dyDescent="0.15">
      <c r="Q164">
        <f t="shared" si="36"/>
        <v>63</v>
      </c>
      <c r="R164" s="166">
        <v>4</v>
      </c>
      <c r="S164" s="1">
        <f>$U$158*$C$24</f>
        <v>747.52056557169385</v>
      </c>
      <c r="T164" s="167">
        <f>$U$158*(100%-$C$24)</f>
        <v>83.057840619077069</v>
      </c>
      <c r="U164" s="168">
        <f t="shared" si="37"/>
        <v>0.48714219801113001</v>
      </c>
      <c r="V164" s="169">
        <f t="shared" si="33"/>
        <v>119.60329049147101</v>
      </c>
      <c r="W164" s="186">
        <f t="shared" si="34"/>
        <v>40.460979041235319</v>
      </c>
      <c r="X164" s="170">
        <f t="shared" si="35"/>
        <v>160.06426953270633</v>
      </c>
    </row>
    <row r="165" spans="17:25" x14ac:dyDescent="0.15">
      <c r="Q165">
        <f t="shared" si="36"/>
        <v>64</v>
      </c>
      <c r="R165" s="166">
        <v>5</v>
      </c>
      <c r="S165" s="1">
        <f>$U$158*$C$24</f>
        <v>747.52056557169385</v>
      </c>
      <c r="T165" s="167">
        <f>$U$158*(100%-$C$24)</f>
        <v>83.057840619077069</v>
      </c>
      <c r="U165" s="168">
        <f t="shared" si="37"/>
        <v>0.489983860832861</v>
      </c>
      <c r="V165" s="169">
        <f t="shared" si="33"/>
        <v>119.60329049147101</v>
      </c>
      <c r="W165" s="186">
        <f t="shared" si="34"/>
        <v>40.697001418975809</v>
      </c>
      <c r="X165" s="170">
        <f t="shared" si="35"/>
        <v>160.30029191044682</v>
      </c>
    </row>
    <row r="166" spans="17:25" x14ac:dyDescent="0.15">
      <c r="Q166">
        <f t="shared" si="36"/>
        <v>65</v>
      </c>
      <c r="R166" s="166">
        <v>6</v>
      </c>
      <c r="S166" s="1">
        <f>$U$158*$C$24</f>
        <v>747.52056557169385</v>
      </c>
      <c r="T166" s="167">
        <f>$U$158*(100%-$C$24)</f>
        <v>83.057840619077069</v>
      </c>
      <c r="U166" s="168">
        <f t="shared" si="37"/>
        <v>0.492842100021052</v>
      </c>
      <c r="V166" s="169">
        <f t="shared" si="33"/>
        <v>119.60329049147101</v>
      </c>
      <c r="W166" s="186">
        <f t="shared" si="34"/>
        <v>40.934400593919776</v>
      </c>
      <c r="X166" s="170">
        <f t="shared" si="35"/>
        <v>160.5376910853908</v>
      </c>
    </row>
    <row r="167" spans="17:25" x14ac:dyDescent="0.15">
      <c r="Q167">
        <f t="shared" si="36"/>
        <v>66</v>
      </c>
      <c r="R167" s="166">
        <v>7</v>
      </c>
      <c r="S167" s="1">
        <f>$U$158*$C$24</f>
        <v>747.52056557169385</v>
      </c>
      <c r="T167" s="167">
        <f>$U$158*(100%-$C$24)</f>
        <v>83.057840619077069</v>
      </c>
      <c r="U167" s="168">
        <f t="shared" si="37"/>
        <v>0.49571701227117498</v>
      </c>
      <c r="V167" s="169">
        <f t="shared" si="33"/>
        <v>119.60329049147101</v>
      </c>
      <c r="W167" s="186">
        <f t="shared" si="34"/>
        <v>41.173184597384321</v>
      </c>
      <c r="X167" s="170">
        <f t="shared" si="35"/>
        <v>160.77647508885534</v>
      </c>
    </row>
    <row r="168" spans="17:25" x14ac:dyDescent="0.15">
      <c r="Q168">
        <f t="shared" si="36"/>
        <v>67</v>
      </c>
      <c r="R168" s="166">
        <v>8</v>
      </c>
      <c r="S168" s="1">
        <f>$U$158*$C$24</f>
        <v>747.52056557169385</v>
      </c>
      <c r="T168" s="167">
        <f>$U$158*(100%-$C$24)</f>
        <v>83.057840619077069</v>
      </c>
      <c r="U168" s="168">
        <f t="shared" si="37"/>
        <v>0.49860869484275699</v>
      </c>
      <c r="V168" s="169">
        <f t="shared" si="33"/>
        <v>119.60329049147101</v>
      </c>
      <c r="W168" s="186">
        <f t="shared" si="34"/>
        <v>41.413361507535747</v>
      </c>
      <c r="X168" s="170">
        <f t="shared" si="35"/>
        <v>161.01665199900677</v>
      </c>
    </row>
    <row r="169" spans="17:25" x14ac:dyDescent="0.15">
      <c r="Q169">
        <f t="shared" si="36"/>
        <v>68</v>
      </c>
      <c r="R169" s="166">
        <v>9</v>
      </c>
      <c r="S169" s="1">
        <f>$U$158*$C$24</f>
        <v>747.52056557169385</v>
      </c>
      <c r="T169" s="167">
        <f>$U$158*(100%-$C$24)</f>
        <v>83.057840619077069</v>
      </c>
      <c r="U169" s="168">
        <f t="shared" si="37"/>
        <v>0.50151724556267296</v>
      </c>
      <c r="V169" s="169">
        <f t="shared" si="33"/>
        <v>119.60329049147101</v>
      </c>
      <c r="W169" s="186">
        <f t="shared" si="34"/>
        <v>41.654939449663026</v>
      </c>
      <c r="X169" s="170">
        <f t="shared" si="35"/>
        <v>161.25822994113403</v>
      </c>
    </row>
    <row r="170" spans="17:25" x14ac:dyDescent="0.15">
      <c r="Q170">
        <f t="shared" si="36"/>
        <v>69</v>
      </c>
      <c r="R170" s="166">
        <v>10</v>
      </c>
      <c r="S170" s="1">
        <f>$U$158*$C$24</f>
        <v>747.52056557169385</v>
      </c>
      <c r="T170" s="167">
        <f>$U$158*(100%-$C$24)</f>
        <v>83.057840619077069</v>
      </c>
      <c r="U170" s="168">
        <f t="shared" si="37"/>
        <v>0.50444276282845502</v>
      </c>
      <c r="V170" s="169">
        <f t="shared" si="33"/>
        <v>119.60329049147101</v>
      </c>
      <c r="W170" s="186">
        <f t="shared" si="34"/>
        <v>41.897926596452713</v>
      </c>
      <c r="X170" s="170">
        <f t="shared" si="35"/>
        <v>161.50121708792372</v>
      </c>
    </row>
    <row r="171" spans="17:25" x14ac:dyDescent="0.15">
      <c r="Q171">
        <f t="shared" si="36"/>
        <v>70</v>
      </c>
      <c r="R171" s="166">
        <v>11</v>
      </c>
      <c r="S171" s="1">
        <f>$U$158*$C$24</f>
        <v>747.52056557169385</v>
      </c>
      <c r="T171" s="167">
        <f>$U$158*(100%-$C$24)</f>
        <v>83.057840619077069</v>
      </c>
      <c r="U171" s="168">
        <f t="shared" si="37"/>
        <v>0.50738534561162096</v>
      </c>
      <c r="V171" s="169">
        <f t="shared" si="33"/>
        <v>119.60329049147101</v>
      </c>
      <c r="W171" s="186">
        <f t="shared" si="34"/>
        <v>42.142331168265351</v>
      </c>
      <c r="X171" s="170">
        <f t="shared" si="35"/>
        <v>161.74562165973637</v>
      </c>
    </row>
    <row r="172" spans="17:25" x14ac:dyDescent="0.15">
      <c r="Q172">
        <f t="shared" si="36"/>
        <v>71</v>
      </c>
      <c r="R172" s="166">
        <v>12</v>
      </c>
      <c r="S172" s="1">
        <f>$U$158*$C$24</f>
        <v>747.52056557169385</v>
      </c>
      <c r="T172" s="167">
        <f>$U$158*(100%-$C$24)</f>
        <v>83.057840619077069</v>
      </c>
      <c r="U172" s="168">
        <f t="shared" si="37"/>
        <v>0.51034509346102197</v>
      </c>
      <c r="V172" s="169">
        <f t="shared" si="33"/>
        <v>119.60329049147101</v>
      </c>
      <c r="W172" s="186">
        <f t="shared" si="34"/>
        <v>42.388161433413551</v>
      </c>
      <c r="X172" s="170">
        <f t="shared" si="35"/>
        <v>161.99145192488456</v>
      </c>
    </row>
    <row r="173" spans="17:25" ht="16" x14ac:dyDescent="0.3">
      <c r="S173" s="118">
        <f>IF($C$17&gt;=S158,SUM(S161:S172),"")</f>
        <v>8970.2467868603253</v>
      </c>
      <c r="T173" s="119">
        <f>IF($C$17&gt;=S158,SUM(T161:T172),"")</f>
        <v>996.69408742892483</v>
      </c>
      <c r="U173" s="108">
        <f>IF(Y174="",0,AVERAGE(U161:U172))</f>
        <v>0.49437710462766948</v>
      </c>
      <c r="V173" s="120">
        <f>IF($C$17&gt;=S158,SUM(V161:V172),"")</f>
        <v>1435.239485897652</v>
      </c>
      <c r="W173" s="121">
        <f>IF($C$17&gt;=S158,SUM(W161:W172),"")</f>
        <v>492.74273714262904</v>
      </c>
      <c r="X173" s="121">
        <f>IF($C$17&gt;=S158,SUM(X161:X172),"")</f>
        <v>1927.9822230402815</v>
      </c>
    </row>
    <row r="174" spans="17:25" x14ac:dyDescent="0.15">
      <c r="W174" s="222" t="s">
        <v>53</v>
      </c>
      <c r="X174" s="117">
        <f>IF(AND($D$36="Yes",$D$38+1=S158,$C$17&gt;=S158),$B$38,0)</f>
        <v>0</v>
      </c>
      <c r="Y174" s="142">
        <f>IF(X173="",0,IF(AND($C$41="No",$D$36="No"),X173,IF(AND($C$41="Yes",$D$36="Yes"),(X173-X174)-($D$9+$B$38)*$E$41,IF(AND($C$41="Yes",$D$36="No"),X173-($D$9*$E$41),IF(AND($C$41="No",$D$36="Yes"),X173-X174,X173)))))</f>
        <v>1927.9822230402815</v>
      </c>
    </row>
    <row r="175" spans="17:25" ht="14" thickBot="1" x14ac:dyDescent="0.2">
      <c r="Y175" s="245" t="s">
        <v>85</v>
      </c>
    </row>
    <row r="176" spans="17:25" ht="17" thickBot="1" x14ac:dyDescent="0.25">
      <c r="R176" s="126" t="s">
        <v>48</v>
      </c>
      <c r="S176" s="127">
        <v>7</v>
      </c>
      <c r="T176" s="154" t="s">
        <v>66</v>
      </c>
      <c r="U176" s="143">
        <f>U158-($C$34*U158)</f>
        <v>828.08667097219859</v>
      </c>
      <c r="V176" s="155" t="s">
        <v>68</v>
      </c>
      <c r="W176" s="185">
        <f>ROUND($C$22/12,15)</f>
        <v>5.8333333333329997E-3</v>
      </c>
      <c r="X176" s="261">
        <f>IF(X191="",0,Y159/POWER($C$34+1,1)/POWER($E$41+1,S176))</f>
        <v>8055.991258893474</v>
      </c>
      <c r="Y176" s="246">
        <f>U176*12</f>
        <v>9937.0400516663831</v>
      </c>
    </row>
    <row r="177" spans="17:25" x14ac:dyDescent="0.15">
      <c r="U177" s="183" t="s">
        <v>76</v>
      </c>
      <c r="V177" s="166">
        <f>IF(S176&lt;=$C$29,$C$26,IF(AND(S176&gt;$C$29,$B$32="Yes"),AVERAGE(U179:U190),$D$32))</f>
        <v>0.16</v>
      </c>
      <c r="Y177" s="250">
        <f>IF(X176&gt;0,($D$12)/POWER($C$34+1,S176),0)</f>
        <v>9907.853109404281</v>
      </c>
    </row>
    <row r="178" spans="17:25" x14ac:dyDescent="0.15">
      <c r="R178" s="122" t="s">
        <v>70</v>
      </c>
      <c r="S178" s="124">
        <f>$C$24</f>
        <v>0.9</v>
      </c>
      <c r="T178" s="125">
        <f>100%-$S$88</f>
        <v>9.9999999999999978E-2</v>
      </c>
      <c r="U178" s="112" t="s">
        <v>72</v>
      </c>
      <c r="V178" s="115" t="s">
        <v>71</v>
      </c>
      <c r="W178" s="115" t="s">
        <v>67</v>
      </c>
      <c r="X178" s="116" t="s">
        <v>69</v>
      </c>
    </row>
    <row r="179" spans="17:25" x14ac:dyDescent="0.15">
      <c r="Q179">
        <f>Q172+1</f>
        <v>72</v>
      </c>
      <c r="R179" s="166">
        <v>1</v>
      </c>
      <c r="S179" s="1">
        <f>$U$176*$C$24</f>
        <v>745.27800387497871</v>
      </c>
      <c r="T179" s="167">
        <f>$U$176*(100%-$C$24)</f>
        <v>82.808667097219839</v>
      </c>
      <c r="U179" s="168">
        <f>ROUND(U172*(1+$W$176),60)</f>
        <v>0.51332210650621102</v>
      </c>
      <c r="V179" s="169">
        <f>S179*$V$177</f>
        <v>119.24448061999659</v>
      </c>
      <c r="W179" s="186">
        <f>T179*U179</f>
        <v>42.507519431316453</v>
      </c>
      <c r="X179" s="170">
        <f>W179+V179</f>
        <v>161.75200005131305</v>
      </c>
    </row>
    <row r="180" spans="17:25" x14ac:dyDescent="0.15">
      <c r="Q180">
        <f>Q179+1</f>
        <v>73</v>
      </c>
      <c r="R180" s="166">
        <v>2</v>
      </c>
      <c r="S180" s="1">
        <f>$U$176*$C$24</f>
        <v>745.27800387497871</v>
      </c>
      <c r="T180" s="167">
        <f>$U$176*(100%-$C$24)</f>
        <v>82.808667097219839</v>
      </c>
      <c r="U180" s="168">
        <f>ROUND(U179*(1+$W$176),60)</f>
        <v>0.51631648546082998</v>
      </c>
      <c r="V180" s="169">
        <f t="shared" ref="V180:V190" si="38">S180*$V$177</f>
        <v>119.24448061999659</v>
      </c>
      <c r="W180" s="186">
        <f t="shared" ref="W180:W190" si="39">T180*U180</f>
        <v>42.755479961332419</v>
      </c>
      <c r="X180" s="170">
        <f t="shared" ref="X180:X190" si="40">W180+V180</f>
        <v>161.99996058132902</v>
      </c>
    </row>
    <row r="181" spans="17:25" x14ac:dyDescent="0.15">
      <c r="Q181">
        <f t="shared" ref="Q181:Q190" si="41">Q180+1</f>
        <v>74</v>
      </c>
      <c r="R181" s="166">
        <v>3</v>
      </c>
      <c r="S181" s="1">
        <f>$U$176*$C$24</f>
        <v>745.27800387497871</v>
      </c>
      <c r="T181" s="167">
        <f>$U$176*(100%-$C$24)</f>
        <v>82.808667097219839</v>
      </c>
      <c r="U181" s="168">
        <f t="shared" ref="U181:U190" si="42">ROUND(U180*(1+$W$176),60)</f>
        <v>0.51932833162601799</v>
      </c>
      <c r="V181" s="169">
        <f t="shared" si="38"/>
        <v>119.24448061999659</v>
      </c>
      <c r="W181" s="186">
        <f t="shared" si="39"/>
        <v>43.004886927773512</v>
      </c>
      <c r="X181" s="170">
        <f t="shared" si="40"/>
        <v>162.24936754777011</v>
      </c>
    </row>
    <row r="182" spans="17:25" x14ac:dyDescent="0.15">
      <c r="Q182">
        <f t="shared" si="41"/>
        <v>75</v>
      </c>
      <c r="R182" s="166">
        <v>4</v>
      </c>
      <c r="S182" s="1">
        <f>$U$176*$C$24</f>
        <v>745.27800387497871</v>
      </c>
      <c r="T182" s="167">
        <f>$U$176*(100%-$C$24)</f>
        <v>82.808667097219839</v>
      </c>
      <c r="U182" s="168">
        <f t="shared" si="42"/>
        <v>0.52235774689383596</v>
      </c>
      <c r="V182" s="169">
        <f t="shared" si="38"/>
        <v>119.24448061999659</v>
      </c>
      <c r="W182" s="186">
        <f t="shared" si="39"/>
        <v>43.255748768185484</v>
      </c>
      <c r="X182" s="170">
        <f t="shared" si="40"/>
        <v>162.50022938818208</v>
      </c>
    </row>
    <row r="183" spans="17:25" x14ac:dyDescent="0.15">
      <c r="Q183">
        <f t="shared" si="41"/>
        <v>76</v>
      </c>
      <c r="R183" s="166">
        <v>5</v>
      </c>
      <c r="S183" s="1">
        <f>$U$176*$C$24</f>
        <v>745.27800387497871</v>
      </c>
      <c r="T183" s="167">
        <f>$U$176*(100%-$C$24)</f>
        <v>82.808667097219839</v>
      </c>
      <c r="U183" s="168">
        <f t="shared" si="42"/>
        <v>0.525404833750716</v>
      </c>
      <c r="V183" s="169">
        <f t="shared" si="38"/>
        <v>119.24448061999659</v>
      </c>
      <c r="W183" s="186">
        <f t="shared" si="39"/>
        <v>43.508073969333175</v>
      </c>
      <c r="X183" s="170">
        <f t="shared" si="40"/>
        <v>162.75255458932978</v>
      </c>
    </row>
    <row r="184" spans="17:25" x14ac:dyDescent="0.15">
      <c r="Q184">
        <f t="shared" si="41"/>
        <v>77</v>
      </c>
      <c r="R184" s="166">
        <v>6</v>
      </c>
      <c r="S184" s="1">
        <f>$U$176*$C$24</f>
        <v>745.27800387497871</v>
      </c>
      <c r="T184" s="167">
        <f>$U$176*(100%-$C$24)</f>
        <v>82.808667097219839</v>
      </c>
      <c r="U184" s="168">
        <f t="shared" si="42"/>
        <v>0.52846969528092802</v>
      </c>
      <c r="V184" s="169">
        <f t="shared" si="38"/>
        <v>119.24448061999659</v>
      </c>
      <c r="W184" s="186">
        <f t="shared" si="39"/>
        <v>43.761871067487576</v>
      </c>
      <c r="X184" s="170">
        <f t="shared" si="40"/>
        <v>163.00635168748417</v>
      </c>
    </row>
    <row r="185" spans="17:25" x14ac:dyDescent="0.15">
      <c r="Q185">
        <f t="shared" si="41"/>
        <v>78</v>
      </c>
      <c r="R185" s="166">
        <v>7</v>
      </c>
      <c r="S185" s="1">
        <f>$U$176*$C$24</f>
        <v>745.27800387497871</v>
      </c>
      <c r="T185" s="167">
        <f>$U$176*(100%-$C$24)</f>
        <v>82.808667097219839</v>
      </c>
      <c r="U185" s="168">
        <f t="shared" si="42"/>
        <v>0.53155243517006701</v>
      </c>
      <c r="V185" s="169">
        <f t="shared" si="38"/>
        <v>119.24448061999659</v>
      </c>
      <c r="W185" s="186">
        <f t="shared" si="39"/>
        <v>44.01714864871461</v>
      </c>
      <c r="X185" s="170">
        <f t="shared" si="40"/>
        <v>163.2616292687112</v>
      </c>
    </row>
    <row r="186" spans="17:25" x14ac:dyDescent="0.15">
      <c r="Q186">
        <f t="shared" si="41"/>
        <v>79</v>
      </c>
      <c r="R186" s="166">
        <v>8</v>
      </c>
      <c r="S186" s="1">
        <f>$U$176*$C$24</f>
        <v>745.27800387497871</v>
      </c>
      <c r="T186" s="167">
        <f>$U$176*(100%-$C$24)</f>
        <v>82.808667097219839</v>
      </c>
      <c r="U186" s="168">
        <f t="shared" si="42"/>
        <v>0.53465315770855903</v>
      </c>
      <c r="V186" s="169">
        <f t="shared" si="38"/>
        <v>119.24448061999659</v>
      </c>
      <c r="W186" s="186">
        <f t="shared" si="39"/>
        <v>44.273915349165442</v>
      </c>
      <c r="X186" s="170">
        <f t="shared" si="40"/>
        <v>163.51839596916204</v>
      </c>
    </row>
    <row r="187" spans="17:25" x14ac:dyDescent="0.15">
      <c r="Q187">
        <f t="shared" si="41"/>
        <v>80</v>
      </c>
      <c r="R187" s="166">
        <v>9</v>
      </c>
      <c r="S187" s="1">
        <f>$U$176*$C$24</f>
        <v>745.27800387497871</v>
      </c>
      <c r="T187" s="167">
        <f>$U$176*(100%-$C$24)</f>
        <v>82.808667097219839</v>
      </c>
      <c r="U187" s="168">
        <f t="shared" si="42"/>
        <v>0.53777196779519199</v>
      </c>
      <c r="V187" s="169">
        <f t="shared" si="38"/>
        <v>119.24448061999659</v>
      </c>
      <c r="W187" s="186">
        <f t="shared" si="39"/>
        <v>44.532179855368881</v>
      </c>
      <c r="X187" s="170">
        <f t="shared" si="40"/>
        <v>163.77666047536547</v>
      </c>
    </row>
    <row r="188" spans="17:25" x14ac:dyDescent="0.15">
      <c r="Q188">
        <f t="shared" si="41"/>
        <v>81</v>
      </c>
      <c r="R188" s="166">
        <v>10</v>
      </c>
      <c r="S188" s="1">
        <f>$U$176*$C$24</f>
        <v>745.27800387497871</v>
      </c>
      <c r="T188" s="167">
        <f>$U$176*(100%-$C$24)</f>
        <v>82.808667097219839</v>
      </c>
      <c r="U188" s="168">
        <f t="shared" si="42"/>
        <v>0.54090897094066404</v>
      </c>
      <c r="V188" s="169">
        <f t="shared" si="38"/>
        <v>119.24448061999659</v>
      </c>
      <c r="W188" s="186">
        <f t="shared" si="39"/>
        <v>44.791950904525208</v>
      </c>
      <c r="X188" s="170">
        <f t="shared" si="40"/>
        <v>164.03643152452179</v>
      </c>
    </row>
    <row r="189" spans="17:25" x14ac:dyDescent="0.15">
      <c r="Q189">
        <f t="shared" si="41"/>
        <v>82</v>
      </c>
      <c r="R189" s="166">
        <v>11</v>
      </c>
      <c r="S189" s="1">
        <f>$U$176*$C$24</f>
        <v>745.27800387497871</v>
      </c>
      <c r="T189" s="167">
        <f>$U$176*(100%-$C$24)</f>
        <v>82.808667097219839</v>
      </c>
      <c r="U189" s="168">
        <f t="shared" si="42"/>
        <v>0.54406427327115103</v>
      </c>
      <c r="V189" s="169">
        <f t="shared" si="38"/>
        <v>119.24448061999659</v>
      </c>
      <c r="W189" s="186">
        <f t="shared" si="39"/>
        <v>45.05323728480159</v>
      </c>
      <c r="X189" s="170">
        <f t="shared" si="40"/>
        <v>164.29771790479819</v>
      </c>
    </row>
    <row r="190" spans="17:25" x14ac:dyDescent="0.15">
      <c r="Q190">
        <f t="shared" si="41"/>
        <v>83</v>
      </c>
      <c r="R190" s="166">
        <v>12</v>
      </c>
      <c r="S190" s="1">
        <f>$U$176*$C$24</f>
        <v>745.27800387497871</v>
      </c>
      <c r="T190" s="167">
        <f>$U$176*(100%-$C$24)</f>
        <v>82.808667097219839</v>
      </c>
      <c r="U190" s="168">
        <f t="shared" si="42"/>
        <v>0.54723798153189895</v>
      </c>
      <c r="V190" s="169">
        <f t="shared" si="38"/>
        <v>119.24448061999659</v>
      </c>
      <c r="W190" s="186">
        <f t="shared" si="39"/>
        <v>45.316047835629561</v>
      </c>
      <c r="X190" s="170">
        <f t="shared" si="40"/>
        <v>164.56052845562616</v>
      </c>
    </row>
    <row r="191" spans="17:25" ht="16" x14ac:dyDescent="0.3">
      <c r="S191" s="118">
        <f>IF($C$17&gt;=S176,SUM(S179:S190),"")</f>
        <v>8943.336046499744</v>
      </c>
      <c r="T191" s="119">
        <f>IF($C$17&gt;=S176,SUM(T179:T190),"")</f>
        <v>993.70400516663824</v>
      </c>
      <c r="U191" s="108">
        <f>IF(Y192="",0,AVERAGE(U179:U190))</f>
        <v>0.53011566549467259</v>
      </c>
      <c r="V191" s="120">
        <f>IF($C$17&gt;=S176,SUM(V179:V190),"")</f>
        <v>1430.9337674399594</v>
      </c>
      <c r="W191" s="121">
        <f>IF($C$17&gt;=S176,SUM(W179:W190),"")</f>
        <v>526.77806000363398</v>
      </c>
      <c r="X191" s="121">
        <f>IF($C$17&gt;=S176,SUM(X179:X190),"")</f>
        <v>1957.7118274435932</v>
      </c>
    </row>
    <row r="192" spans="17:25" x14ac:dyDescent="0.15">
      <c r="W192" s="222" t="s">
        <v>53</v>
      </c>
      <c r="X192" s="117">
        <f>IF(AND($D$36="Yes",$D$38+1=S176,$C$17&gt;=S176),$B$38,0)</f>
        <v>0</v>
      </c>
      <c r="Y192" s="142">
        <f>IF(X191="",0,IF(AND($C$41="No",$D$36="No"),X191,IF(AND($C$41="Yes",$D$36="Yes"),(X191-X192)-($D$9+$B$38)*$E$41,IF(AND($C$41="Yes",$D$36="No"),X191-($D$9*$E$41),IF(AND($C$41="No",$D$36="Yes"),X191-X192,X191)))))</f>
        <v>1957.7118274435932</v>
      </c>
    </row>
    <row r="193" spans="17:25" ht="14" thickBot="1" x14ac:dyDescent="0.2">
      <c r="Y193" s="245" t="s">
        <v>85</v>
      </c>
    </row>
    <row r="194" spans="17:25" ht="17" thickBot="1" x14ac:dyDescent="0.25">
      <c r="R194" s="126" t="s">
        <v>48</v>
      </c>
      <c r="S194" s="127">
        <v>8</v>
      </c>
      <c r="T194" s="154" t="s">
        <v>66</v>
      </c>
      <c r="U194" s="143">
        <f>U176-($C$34*U176)</f>
        <v>825.602410959282</v>
      </c>
      <c r="V194" s="155" t="s">
        <v>68</v>
      </c>
      <c r="W194" s="185">
        <f>ROUND($C$22/12,15)</f>
        <v>5.8333333333329997E-3</v>
      </c>
      <c r="X194" s="261">
        <f>IF(X209="",0,Y177/POWER($C$34+1,1)/POWER($E$41+1,S194))</f>
        <v>7797.9568661912081</v>
      </c>
      <c r="Y194" s="246">
        <f>U194*12</f>
        <v>9907.2289315113849</v>
      </c>
    </row>
    <row r="195" spans="17:25" x14ac:dyDescent="0.15">
      <c r="U195" s="183" t="s">
        <v>76</v>
      </c>
      <c r="V195" s="166">
        <f>IF(S194&lt;=$C$29,$C$26,IF(AND(S194&gt;$C$29,$B$32="Yes"),AVERAGE(U197:U208),$D$32))</f>
        <v>0.16</v>
      </c>
      <c r="Y195" s="250">
        <f>IF(X194&gt;0,($D$12)/POWER($C$34+1,S194),0)</f>
        <v>9878.2184540421549</v>
      </c>
    </row>
    <row r="196" spans="17:25" x14ac:dyDescent="0.15">
      <c r="R196" s="122" t="s">
        <v>70</v>
      </c>
      <c r="S196" s="124">
        <f>$C$24</f>
        <v>0.9</v>
      </c>
      <c r="T196" s="125">
        <f>100%-$S$88</f>
        <v>9.9999999999999978E-2</v>
      </c>
      <c r="U196" s="112" t="s">
        <v>72</v>
      </c>
      <c r="V196" s="115" t="s">
        <v>71</v>
      </c>
      <c r="W196" s="115" t="s">
        <v>67</v>
      </c>
      <c r="X196" s="116" t="s">
        <v>69</v>
      </c>
    </row>
    <row r="197" spans="17:25" x14ac:dyDescent="0.15">
      <c r="Q197">
        <f>Q190+1</f>
        <v>84</v>
      </c>
      <c r="R197" s="166">
        <v>1</v>
      </c>
      <c r="S197" s="1">
        <f>$U$194*$C$24</f>
        <v>743.04216986335382</v>
      </c>
      <c r="T197" s="167">
        <f>$U$194*(100%-$C$24)</f>
        <v>82.560241095928177</v>
      </c>
      <c r="U197" s="168">
        <f>ROUND(U190*(1+$W$194),60)</f>
        <v>0.55043020309083501</v>
      </c>
      <c r="V197" s="169">
        <f>S197*$V$195</f>
        <v>118.88674717813662</v>
      </c>
      <c r="W197" s="186">
        <f>T197*U197</f>
        <v>45.443650273660047</v>
      </c>
      <c r="X197" s="170">
        <f>W197+V197</f>
        <v>164.33039745179667</v>
      </c>
    </row>
    <row r="198" spans="17:25" x14ac:dyDescent="0.15">
      <c r="Q198">
        <f>Q197+1</f>
        <v>85</v>
      </c>
      <c r="R198" s="166">
        <v>2</v>
      </c>
      <c r="S198" s="1">
        <f>$U$194*$C$24</f>
        <v>743.04216986335382</v>
      </c>
      <c r="T198" s="167">
        <f>$U$194*(100%-$C$24)</f>
        <v>82.560241095928177</v>
      </c>
      <c r="U198" s="168">
        <f>ROUND(U197*(1+$W$194),60)</f>
        <v>0.55364104594219798</v>
      </c>
      <c r="V198" s="169">
        <f t="shared" ref="V198:V208" si="43">S198*$V$195</f>
        <v>118.88674717813662</v>
      </c>
      <c r="W198" s="186">
        <f t="shared" ref="W198:W208" si="44">T198*U198</f>
        <v>45.708738233589713</v>
      </c>
      <c r="X198" s="170">
        <f t="shared" ref="X198:X208" si="45">W198+V198</f>
        <v>164.59548541172632</v>
      </c>
    </row>
    <row r="199" spans="17:25" x14ac:dyDescent="0.15">
      <c r="Q199">
        <f t="shared" ref="Q199:Q208" si="46">Q198+1</f>
        <v>86</v>
      </c>
      <c r="R199" s="166">
        <v>3</v>
      </c>
      <c r="S199" s="1">
        <f>$U$194*$C$24</f>
        <v>743.04216986335382</v>
      </c>
      <c r="T199" s="167">
        <f>$U$194*(100%-$C$24)</f>
        <v>82.560241095928177</v>
      </c>
      <c r="U199" s="168">
        <f t="shared" ref="U199:U208" si="47">ROUND(U198*(1+$W$194),60)</f>
        <v>0.55687061871019405</v>
      </c>
      <c r="V199" s="169">
        <f t="shared" si="43"/>
        <v>118.88674717813662</v>
      </c>
      <c r="W199" s="186">
        <f t="shared" si="44"/>
        <v>45.975372539952311</v>
      </c>
      <c r="X199" s="170">
        <f t="shared" si="45"/>
        <v>164.86211971808893</v>
      </c>
    </row>
    <row r="200" spans="17:25" x14ac:dyDescent="0.15">
      <c r="Q200">
        <f t="shared" si="46"/>
        <v>87</v>
      </c>
      <c r="R200" s="166">
        <v>4</v>
      </c>
      <c r="S200" s="1">
        <f>$U$194*$C$24</f>
        <v>743.04216986335382</v>
      </c>
      <c r="T200" s="167">
        <f>$U$194*(100%-$C$24)</f>
        <v>82.560241095928177</v>
      </c>
      <c r="U200" s="168">
        <f t="shared" si="47"/>
        <v>0.56011903065266999</v>
      </c>
      <c r="V200" s="169">
        <f t="shared" si="43"/>
        <v>118.88674717813662</v>
      </c>
      <c r="W200" s="186">
        <f t="shared" si="44"/>
        <v>46.243562213102017</v>
      </c>
      <c r="X200" s="170">
        <f t="shared" si="45"/>
        <v>165.13030939123863</v>
      </c>
    </row>
    <row r="201" spans="17:25" x14ac:dyDescent="0.15">
      <c r="Q201">
        <f t="shared" si="46"/>
        <v>88</v>
      </c>
      <c r="R201" s="166">
        <v>5</v>
      </c>
      <c r="S201" s="1">
        <f>$U$194*$C$24</f>
        <v>743.04216986335382</v>
      </c>
      <c r="T201" s="167">
        <f>$U$194*(100%-$C$24)</f>
        <v>82.560241095928177</v>
      </c>
      <c r="U201" s="168">
        <f t="shared" si="47"/>
        <v>0.56338639166480997</v>
      </c>
      <c r="V201" s="169">
        <f t="shared" si="43"/>
        <v>118.88674717813662</v>
      </c>
      <c r="W201" s="186">
        <f t="shared" si="44"/>
        <v>46.513316326011733</v>
      </c>
      <c r="X201" s="170">
        <f t="shared" si="45"/>
        <v>165.40006350414836</v>
      </c>
    </row>
    <row r="202" spans="17:25" x14ac:dyDescent="0.15">
      <c r="Q202">
        <f t="shared" si="46"/>
        <v>89</v>
      </c>
      <c r="R202" s="166">
        <v>6</v>
      </c>
      <c r="S202" s="1">
        <f>$U$194*$C$24</f>
        <v>743.04216986335382</v>
      </c>
      <c r="T202" s="167">
        <f>$U$194*(100%-$C$24)</f>
        <v>82.560241095928177</v>
      </c>
      <c r="U202" s="168">
        <f t="shared" si="47"/>
        <v>0.56667281228285404</v>
      </c>
      <c r="V202" s="169">
        <f t="shared" si="43"/>
        <v>118.88674717813662</v>
      </c>
      <c r="W202" s="186">
        <f t="shared" si="44"/>
        <v>46.78464400458008</v>
      </c>
      <c r="X202" s="170">
        <f t="shared" si="45"/>
        <v>165.67139118271669</v>
      </c>
    </row>
    <row r="203" spans="17:25" x14ac:dyDescent="0.15">
      <c r="Q203">
        <f t="shared" si="46"/>
        <v>90</v>
      </c>
      <c r="R203" s="166">
        <v>7</v>
      </c>
      <c r="S203" s="1">
        <f>$U$194*$C$24</f>
        <v>743.04216986335382</v>
      </c>
      <c r="T203" s="167">
        <f>$U$194*(100%-$C$24)</f>
        <v>82.560241095928177</v>
      </c>
      <c r="U203" s="168">
        <f t="shared" si="47"/>
        <v>0.56997840368783703</v>
      </c>
      <c r="V203" s="169">
        <f t="shared" si="43"/>
        <v>118.88674717813662</v>
      </c>
      <c r="W203" s="186">
        <f t="shared" si="44"/>
        <v>47.057554427940104</v>
      </c>
      <c r="X203" s="170">
        <f t="shared" si="45"/>
        <v>165.94430160607672</v>
      </c>
    </row>
    <row r="204" spans="17:25" x14ac:dyDescent="0.15">
      <c r="Q204">
        <f t="shared" si="46"/>
        <v>91</v>
      </c>
      <c r="R204" s="166">
        <v>8</v>
      </c>
      <c r="S204" s="1">
        <f>$U$194*$C$24</f>
        <v>743.04216986335382</v>
      </c>
      <c r="T204" s="167">
        <f>$U$194*(100%-$C$24)</f>
        <v>82.560241095928177</v>
      </c>
      <c r="U204" s="168">
        <f t="shared" si="47"/>
        <v>0.57330327770934897</v>
      </c>
      <c r="V204" s="169">
        <f t="shared" si="43"/>
        <v>118.88674717813662</v>
      </c>
      <c r="W204" s="186">
        <f t="shared" si="44"/>
        <v>47.332056828769716</v>
      </c>
      <c r="X204" s="170">
        <f t="shared" si="45"/>
        <v>166.21880400690634</v>
      </c>
    </row>
    <row r="205" spans="17:25" x14ac:dyDescent="0.15">
      <c r="Q205">
        <f t="shared" si="46"/>
        <v>92</v>
      </c>
      <c r="R205" s="166">
        <v>9</v>
      </c>
      <c r="S205" s="1">
        <f>$U$194*$C$24</f>
        <v>743.04216986335382</v>
      </c>
      <c r="T205" s="167">
        <f>$U$194*(100%-$C$24)</f>
        <v>82.560241095928177</v>
      </c>
      <c r="U205" s="168">
        <f t="shared" si="47"/>
        <v>0.57664754682931996</v>
      </c>
      <c r="V205" s="169">
        <f t="shared" si="43"/>
        <v>118.88674717813662</v>
      </c>
      <c r="W205" s="186">
        <f t="shared" si="44"/>
        <v>47.608160493604188</v>
      </c>
      <c r="X205" s="170">
        <f t="shared" si="45"/>
        <v>166.4949076717408</v>
      </c>
    </row>
    <row r="206" spans="17:25" x14ac:dyDescent="0.15">
      <c r="Q206">
        <f t="shared" si="46"/>
        <v>93</v>
      </c>
      <c r="R206" s="166">
        <v>10</v>
      </c>
      <c r="S206" s="1">
        <f>$U$194*$C$24</f>
        <v>743.04216986335382</v>
      </c>
      <c r="T206" s="167">
        <f>$U$194*(100%-$C$24)</f>
        <v>82.560241095928177</v>
      </c>
      <c r="U206" s="168">
        <f t="shared" si="47"/>
        <v>0.58001132418582402</v>
      </c>
      <c r="V206" s="169">
        <f t="shared" si="43"/>
        <v>118.88674717813662</v>
      </c>
      <c r="W206" s="186">
        <f t="shared" si="44"/>
        <v>47.885874763150191</v>
      </c>
      <c r="X206" s="170">
        <f t="shared" si="45"/>
        <v>166.77262194128681</v>
      </c>
    </row>
    <row r="207" spans="17:25" x14ac:dyDescent="0.15">
      <c r="Q207">
        <f t="shared" si="46"/>
        <v>94</v>
      </c>
      <c r="R207" s="166">
        <v>11</v>
      </c>
      <c r="S207" s="1">
        <f>$U$194*$C$24</f>
        <v>743.04216986335382</v>
      </c>
      <c r="T207" s="167">
        <f>$U$194*(100%-$C$24)</f>
        <v>82.560241095928177</v>
      </c>
      <c r="U207" s="168">
        <f t="shared" si="47"/>
        <v>0.58339472357690803</v>
      </c>
      <c r="V207" s="169">
        <f t="shared" si="43"/>
        <v>118.88674717813662</v>
      </c>
      <c r="W207" s="186">
        <f t="shared" si="44"/>
        <v>48.165209032601901</v>
      </c>
      <c r="X207" s="170">
        <f t="shared" si="45"/>
        <v>167.05195621073852</v>
      </c>
    </row>
    <row r="208" spans="17:25" x14ac:dyDescent="0.15">
      <c r="Q208">
        <f t="shared" si="46"/>
        <v>95</v>
      </c>
      <c r="R208" s="166">
        <v>12</v>
      </c>
      <c r="S208" s="1">
        <f>$U$194*$C$24</f>
        <v>743.04216986335382</v>
      </c>
      <c r="T208" s="167">
        <f>$U$194*(100%-$C$24)</f>
        <v>82.560241095928177</v>
      </c>
      <c r="U208" s="168">
        <f t="shared" si="47"/>
        <v>0.58679785946443996</v>
      </c>
      <c r="V208" s="169">
        <f t="shared" si="43"/>
        <v>118.88674717813662</v>
      </c>
      <c r="W208" s="186">
        <f t="shared" si="44"/>
        <v>48.446172751958741</v>
      </c>
      <c r="X208" s="170">
        <f t="shared" si="45"/>
        <v>167.33291993009536</v>
      </c>
    </row>
    <row r="209" spans="17:25" ht="16" x14ac:dyDescent="0.3">
      <c r="S209" s="118">
        <f>IF($C$17&gt;=S194,SUM(S197:S208),"")</f>
        <v>8916.5060383602449</v>
      </c>
      <c r="T209" s="119">
        <f>IF($C$17&gt;=S194,SUM(T197:T208),"")</f>
        <v>990.72289315113812</v>
      </c>
      <c r="U209" s="108">
        <f>IF(Y210="",0,AVERAGE(U197:U208))</f>
        <v>0.56843776981643657</v>
      </c>
      <c r="V209" s="120">
        <f>IF($C$17&gt;=S194,SUM(V197:V208),"")</f>
        <v>1426.6409661376395</v>
      </c>
      <c r="W209" s="121">
        <f>IF($C$17&gt;=S194,SUM(W197:W208),"")</f>
        <v>563.16431188892079</v>
      </c>
      <c r="X209" s="121">
        <f>IF($C$17&gt;=S194,SUM(X197:X208),"")</f>
        <v>1989.8052780265602</v>
      </c>
    </row>
    <row r="210" spans="17:25" x14ac:dyDescent="0.15">
      <c r="W210" s="222" t="s">
        <v>53</v>
      </c>
      <c r="X210" s="117">
        <f>IF(AND($D$36="Yes",$D$38+1=S194,$C$17&gt;=S194),$B$38,0)</f>
        <v>0</v>
      </c>
      <c r="Y210" s="142">
        <f>IF(X209="",0,IF(AND($C$41="No",$D$36="No"),X209,IF(AND($C$41="Yes",$D$36="Yes"),(X209-X210)-($D$9+$B$38)*$E$41,IF(AND($C$41="Yes",$D$36="No"),X209-($D$9*$E$41),IF(AND($C$41="No",$D$36="Yes"),X209-X210,X209)))))</f>
        <v>1989.8052780265602</v>
      </c>
    </row>
    <row r="211" spans="17:25" ht="14" thickBot="1" x14ac:dyDescent="0.2">
      <c r="Y211" s="245" t="s">
        <v>85</v>
      </c>
    </row>
    <row r="212" spans="17:25" ht="17" thickBot="1" x14ac:dyDescent="0.25">
      <c r="R212" s="126" t="s">
        <v>48</v>
      </c>
      <c r="S212" s="127">
        <v>9</v>
      </c>
      <c r="T212" s="154" t="s">
        <v>66</v>
      </c>
      <c r="U212" s="143">
        <f>U194-($C$34*U194)</f>
        <v>823.12560372640417</v>
      </c>
      <c r="V212" s="155" t="s">
        <v>68</v>
      </c>
      <c r="W212" s="185">
        <f>ROUND($C$22/12,15)</f>
        <v>5.8333333333329997E-3</v>
      </c>
      <c r="X212" s="261">
        <f>IF(X227="",0,Y195/POWER($C$34+1,1)/POWER($E$41+1,S212))</f>
        <v>7548.1873468828553</v>
      </c>
      <c r="Y212" s="246">
        <f>U212*12</f>
        <v>9877.5072447168495</v>
      </c>
    </row>
    <row r="213" spans="17:25" x14ac:dyDescent="0.15">
      <c r="U213" s="183" t="s">
        <v>76</v>
      </c>
      <c r="V213" s="166">
        <f>IF(S212&lt;=$C$29,$C$26,IF(AND(S212&gt;$C$29,$B$32="Yes"),AVERAGE(U215:U226),$D$32))</f>
        <v>0.16</v>
      </c>
      <c r="Y213" s="250">
        <f>IF(X212&gt;0,($D$12)/POWER($C$34+1,S212),0)</f>
        <v>9848.6724367319603</v>
      </c>
    </row>
    <row r="214" spans="17:25" x14ac:dyDescent="0.15">
      <c r="R214" s="122" t="s">
        <v>70</v>
      </c>
      <c r="S214" s="124">
        <f>$C$24</f>
        <v>0.9</v>
      </c>
      <c r="T214" s="125">
        <f>100%-$S$88</f>
        <v>9.9999999999999978E-2</v>
      </c>
      <c r="U214" s="112" t="s">
        <v>72</v>
      </c>
      <c r="V214" s="115" t="s">
        <v>71</v>
      </c>
      <c r="W214" s="115" t="s">
        <v>67</v>
      </c>
      <c r="X214" s="116" t="s">
        <v>69</v>
      </c>
    </row>
    <row r="215" spans="17:25" x14ac:dyDescent="0.15">
      <c r="Q215">
        <f>Q208+1</f>
        <v>96</v>
      </c>
      <c r="R215" s="166">
        <v>1</v>
      </c>
      <c r="S215" s="1">
        <f>$U$212*$C$24</f>
        <v>740.81304335376376</v>
      </c>
      <c r="T215" s="167">
        <f>$U$212*(100%-$C$24)</f>
        <v>82.312560372640405</v>
      </c>
      <c r="U215" s="168">
        <f>ROUND(U208*(1+$W$212),60)</f>
        <v>0.59022084697798205</v>
      </c>
      <c r="V215" s="169">
        <f>S215*$V$213</f>
        <v>118.5300869366022</v>
      </c>
      <c r="W215" s="186">
        <f>T215*U215</f>
        <v>48.582589100066102</v>
      </c>
      <c r="X215" s="170">
        <f>W215+V215</f>
        <v>167.11267603666829</v>
      </c>
    </row>
    <row r="216" spans="17:25" x14ac:dyDescent="0.15">
      <c r="Q216">
        <f>Q215+1</f>
        <v>97</v>
      </c>
      <c r="R216" s="166">
        <v>2</v>
      </c>
      <c r="S216" s="1">
        <f>$U$212*$C$24</f>
        <v>740.81304335376376</v>
      </c>
      <c r="T216" s="167">
        <f>$U$212*(100%-$C$24)</f>
        <v>82.312560372640405</v>
      </c>
      <c r="U216" s="168">
        <f>ROUND(U215*(1+$W$212),60)</f>
        <v>0.59366380191868695</v>
      </c>
      <c r="V216" s="169">
        <f t="shared" ref="V216:V226" si="48">S216*$V$213</f>
        <v>118.5300869366022</v>
      </c>
      <c r="W216" s="186">
        <f t="shared" ref="W216:W226" si="49">T216*U216</f>
        <v>48.865987536483154</v>
      </c>
      <c r="X216" s="170">
        <f t="shared" ref="X216:X226" si="50">W216+V216</f>
        <v>167.39607447308535</v>
      </c>
    </row>
    <row r="217" spans="17:25" x14ac:dyDescent="0.15">
      <c r="Q217">
        <f t="shared" ref="Q217:Q226" si="51">Q216+1</f>
        <v>98</v>
      </c>
      <c r="R217" s="166">
        <v>3</v>
      </c>
      <c r="S217" s="1">
        <f>$U$212*$C$24</f>
        <v>740.81304335376376</v>
      </c>
      <c r="T217" s="167">
        <f>$U$212*(100%-$C$24)</f>
        <v>82.312560372640405</v>
      </c>
      <c r="U217" s="168">
        <f t="shared" ref="U217:U226" si="52">ROUND(U216*(1+$W$212),60)</f>
        <v>0.59712684076321199</v>
      </c>
      <c r="V217" s="169">
        <f t="shared" si="48"/>
        <v>118.5300869366022</v>
      </c>
      <c r="W217" s="186">
        <f t="shared" si="49"/>
        <v>49.151039130445923</v>
      </c>
      <c r="X217" s="170">
        <f t="shared" si="50"/>
        <v>167.68112606704813</v>
      </c>
    </row>
    <row r="218" spans="17:25" x14ac:dyDescent="0.15">
      <c r="Q218">
        <f t="shared" si="51"/>
        <v>99</v>
      </c>
      <c r="R218" s="166">
        <v>4</v>
      </c>
      <c r="S218" s="1">
        <f>$U$212*$C$24</f>
        <v>740.81304335376376</v>
      </c>
      <c r="T218" s="167">
        <f>$U$212*(100%-$C$24)</f>
        <v>82.312560372640405</v>
      </c>
      <c r="U218" s="168">
        <f t="shared" si="52"/>
        <v>0.60061008066766397</v>
      </c>
      <c r="V218" s="169">
        <f t="shared" si="48"/>
        <v>118.5300869366022</v>
      </c>
      <c r="W218" s="186">
        <f t="shared" si="49"/>
        <v>49.437753525373516</v>
      </c>
      <c r="X218" s="170">
        <f t="shared" si="50"/>
        <v>167.96784046197573</v>
      </c>
    </row>
    <row r="219" spans="17:25" x14ac:dyDescent="0.15">
      <c r="Q219">
        <f t="shared" si="51"/>
        <v>100</v>
      </c>
      <c r="R219" s="166">
        <v>5</v>
      </c>
      <c r="S219" s="1">
        <f>$U$212*$C$24</f>
        <v>740.81304335376376</v>
      </c>
      <c r="T219" s="167">
        <f>$U$212*(100%-$C$24)</f>
        <v>82.312560372640405</v>
      </c>
      <c r="U219" s="168">
        <f t="shared" si="52"/>
        <v>0.60411363947155805</v>
      </c>
      <c r="V219" s="169">
        <f t="shared" si="48"/>
        <v>118.5300869366022</v>
      </c>
      <c r="W219" s="186">
        <f t="shared" si="49"/>
        <v>49.726140420938144</v>
      </c>
      <c r="X219" s="170">
        <f t="shared" si="50"/>
        <v>168.25622735754035</v>
      </c>
    </row>
    <row r="220" spans="17:25" x14ac:dyDescent="0.15">
      <c r="Q220">
        <f t="shared" si="51"/>
        <v>101</v>
      </c>
      <c r="R220" s="166">
        <v>6</v>
      </c>
      <c r="S220" s="1">
        <f>$U$212*$C$24</f>
        <v>740.81304335376376</v>
      </c>
      <c r="T220" s="167">
        <f>$U$212*(100%-$C$24)</f>
        <v>82.312560372640405</v>
      </c>
      <c r="U220" s="168">
        <f t="shared" si="52"/>
        <v>0.60763763570180895</v>
      </c>
      <c r="V220" s="169">
        <f t="shared" si="48"/>
        <v>118.5300869366022</v>
      </c>
      <c r="W220" s="186">
        <f t="shared" si="49"/>
        <v>50.016209573393624</v>
      </c>
      <c r="X220" s="170">
        <f t="shared" si="50"/>
        <v>168.54629650999584</v>
      </c>
    </row>
    <row r="221" spans="17:25" x14ac:dyDescent="0.15">
      <c r="Q221">
        <f t="shared" si="51"/>
        <v>102</v>
      </c>
      <c r="R221" s="166">
        <v>7</v>
      </c>
      <c r="S221" s="1">
        <f>$U$212*$C$24</f>
        <v>740.81304335376376</v>
      </c>
      <c r="T221" s="167">
        <f>$U$212*(100%-$C$24)</f>
        <v>82.312560372640405</v>
      </c>
      <c r="U221" s="168">
        <f t="shared" si="52"/>
        <v>0.61118218857673601</v>
      </c>
      <c r="V221" s="169">
        <f t="shared" si="48"/>
        <v>118.5300869366022</v>
      </c>
      <c r="W221" s="186">
        <f t="shared" si="49"/>
        <v>50.307970795905078</v>
      </c>
      <c r="X221" s="170">
        <f t="shared" si="50"/>
        <v>168.83805773250728</v>
      </c>
    </row>
    <row r="222" spans="17:25" x14ac:dyDescent="0.15">
      <c r="Q222">
        <f t="shared" si="51"/>
        <v>103</v>
      </c>
      <c r="R222" s="166">
        <v>8</v>
      </c>
      <c r="S222" s="1">
        <f>$U$212*$C$24</f>
        <v>740.81304335376376</v>
      </c>
      <c r="T222" s="167">
        <f>$U$212*(100%-$C$24)</f>
        <v>82.312560372640405</v>
      </c>
      <c r="U222" s="168">
        <f t="shared" si="52"/>
        <v>0.61474741801010002</v>
      </c>
      <c r="V222" s="169">
        <f t="shared" si="48"/>
        <v>118.5300869366022</v>
      </c>
      <c r="W222" s="186">
        <f t="shared" si="49"/>
        <v>50.601433958881167</v>
      </c>
      <c r="X222" s="170">
        <f t="shared" si="50"/>
        <v>169.13152089548336</v>
      </c>
    </row>
    <row r="223" spans="17:25" x14ac:dyDescent="0.15">
      <c r="Q223">
        <f t="shared" si="51"/>
        <v>104</v>
      </c>
      <c r="R223" s="166">
        <v>9</v>
      </c>
      <c r="S223" s="1">
        <f>$U$212*$C$24</f>
        <v>740.81304335376376</v>
      </c>
      <c r="T223" s="167">
        <f>$U$212*(100%-$C$24)</f>
        <v>82.312560372640405</v>
      </c>
      <c r="U223" s="168">
        <f t="shared" si="52"/>
        <v>0.61833344461515904</v>
      </c>
      <c r="V223" s="169">
        <f t="shared" si="48"/>
        <v>118.5300869366022</v>
      </c>
      <c r="W223" s="186">
        <f t="shared" si="49"/>
        <v>50.896608990307982</v>
      </c>
      <c r="X223" s="170">
        <f t="shared" si="50"/>
        <v>169.42669592691018</v>
      </c>
    </row>
    <row r="224" spans="17:25" x14ac:dyDescent="0.15">
      <c r="Q224">
        <f t="shared" si="51"/>
        <v>105</v>
      </c>
      <c r="R224" s="166">
        <v>10</v>
      </c>
      <c r="S224" s="1">
        <f>$U$212*$C$24</f>
        <v>740.81304335376376</v>
      </c>
      <c r="T224" s="167">
        <f>$U$212*(100%-$C$24)</f>
        <v>82.312560372640405</v>
      </c>
      <c r="U224" s="168">
        <f t="shared" si="52"/>
        <v>0.62194038970874699</v>
      </c>
      <c r="V224" s="169">
        <f t="shared" si="48"/>
        <v>118.5300869366022</v>
      </c>
      <c r="W224" s="186">
        <f t="shared" si="49"/>
        <v>51.193505876084735</v>
      </c>
      <c r="X224" s="170">
        <f t="shared" si="50"/>
        <v>169.72359281268695</v>
      </c>
    </row>
    <row r="225" spans="17:25" x14ac:dyDescent="0.15">
      <c r="Q225">
        <f t="shared" si="51"/>
        <v>106</v>
      </c>
      <c r="R225" s="166">
        <v>11</v>
      </c>
      <c r="S225" s="1">
        <f>$U$212*$C$24</f>
        <v>740.81304335376376</v>
      </c>
      <c r="T225" s="167">
        <f>$U$212*(100%-$C$24)</f>
        <v>82.312560372640405</v>
      </c>
      <c r="U225" s="168">
        <f t="shared" si="52"/>
        <v>0.62556837531538101</v>
      </c>
      <c r="V225" s="169">
        <f t="shared" si="48"/>
        <v>118.5300869366022</v>
      </c>
      <c r="W225" s="186">
        <f t="shared" si="49"/>
        <v>51.49213466036187</v>
      </c>
      <c r="X225" s="170">
        <f t="shared" si="50"/>
        <v>170.02222159696407</v>
      </c>
    </row>
    <row r="226" spans="17:25" x14ac:dyDescent="0.15">
      <c r="Q226">
        <f t="shared" si="51"/>
        <v>107</v>
      </c>
      <c r="R226" s="166">
        <v>12</v>
      </c>
      <c r="S226" s="1">
        <f>$U$212*$C$24</f>
        <v>740.81304335376376</v>
      </c>
      <c r="T226" s="167">
        <f>$U$212*(100%-$C$24)</f>
        <v>82.312560372640405</v>
      </c>
      <c r="U226" s="168">
        <f t="shared" si="52"/>
        <v>0.62921752417138699</v>
      </c>
      <c r="V226" s="169">
        <f t="shared" si="48"/>
        <v>118.5300869366022</v>
      </c>
      <c r="W226" s="186">
        <f t="shared" si="49"/>
        <v>51.792505445880614</v>
      </c>
      <c r="X226" s="170">
        <f t="shared" si="50"/>
        <v>170.32259238248281</v>
      </c>
    </row>
    <row r="227" spans="17:25" ht="16" x14ac:dyDescent="0.3">
      <c r="S227" s="118">
        <f>IF($C$17&gt;=S212,SUM(S215:S226),"")</f>
        <v>8889.7565202451642</v>
      </c>
      <c r="T227" s="119">
        <f>IF($C$17&gt;=S212,SUM(T215:T226),"")</f>
        <v>987.75072447168486</v>
      </c>
      <c r="U227" s="108">
        <f>IF(Y228="",0,AVERAGE(U215:U226))</f>
        <v>0.60953018215820176</v>
      </c>
      <c r="V227" s="120">
        <f>IF($C$17&gt;=S212,SUM(V215:V226),"")</f>
        <v>1422.3610432392263</v>
      </c>
      <c r="W227" s="121">
        <f>IF($C$17&gt;=S212,SUM(W215:W226),"")</f>
        <v>602.06387901412188</v>
      </c>
      <c r="X227" s="121">
        <f>IF($C$17&gt;=S212,SUM(X215:X226),"")</f>
        <v>2024.4249222533485</v>
      </c>
    </row>
    <row r="228" spans="17:25" x14ac:dyDescent="0.15">
      <c r="W228" s="222" t="s">
        <v>53</v>
      </c>
      <c r="X228" s="117">
        <f>IF(AND($D$36="Yes",$D$38+1=S212,$C$17&gt;=S212),$B$38,0)</f>
        <v>0</v>
      </c>
      <c r="Y228" s="142">
        <f>IF(X227="",0,IF(AND($C$41="No",$D$36="No"),X227,IF(AND($C$41="Yes",$D$36="Yes"),(X227-X228)-($D$9+$B$38)*$E$41,IF(AND($C$41="Yes",$D$36="No"),X227-($D$9*$E$41),IF(AND($C$41="No",$D$36="Yes"),X227-X228,X227)))))</f>
        <v>2024.4249222533485</v>
      </c>
    </row>
    <row r="229" spans="17:25" ht="14" thickBot="1" x14ac:dyDescent="0.2">
      <c r="Y229" s="245" t="s">
        <v>85</v>
      </c>
    </row>
    <row r="230" spans="17:25" ht="17" thickBot="1" x14ac:dyDescent="0.25">
      <c r="R230" s="126" t="s">
        <v>48</v>
      </c>
      <c r="S230" s="127">
        <v>10</v>
      </c>
      <c r="T230" s="154" t="s">
        <v>66</v>
      </c>
      <c r="U230" s="143">
        <f>U212-($C$34*U212)</f>
        <v>820.65622691522492</v>
      </c>
      <c r="V230" s="155" t="s">
        <v>68</v>
      </c>
      <c r="W230" s="185">
        <f>ROUND($C$22/12,15)</f>
        <v>5.8333333333329997E-3</v>
      </c>
      <c r="X230" s="261">
        <f>IF(X245="",0,Y213/POWER($C$34+1,1)/POWER($E$41+1,S230))</f>
        <v>7306.4179760551897</v>
      </c>
      <c r="Y230" s="246">
        <f>U230*12</f>
        <v>9847.8747229826986</v>
      </c>
    </row>
    <row r="231" spans="17:25" x14ac:dyDescent="0.15">
      <c r="U231" s="183" t="s">
        <v>76</v>
      </c>
      <c r="V231" s="166">
        <f>IF(S230&lt;=$C$29,$C$26,IF(AND(S230&gt;$C$29,$B$32="Yes"),AVERAGE(U233:U244),$D$32))</f>
        <v>0.16</v>
      </c>
      <c r="Y231" s="250">
        <f>IF(X230&gt;0,($D$12)/POWER($C$34+1,S230),0)</f>
        <v>9819.2147923548982</v>
      </c>
    </row>
    <row r="232" spans="17:25" x14ac:dyDescent="0.15">
      <c r="R232" s="122" t="s">
        <v>70</v>
      </c>
      <c r="S232" s="124">
        <f>$C$24</f>
        <v>0.9</v>
      </c>
      <c r="T232" s="125">
        <f>100%-$S$88</f>
        <v>9.9999999999999978E-2</v>
      </c>
      <c r="U232" s="112" t="s">
        <v>72</v>
      </c>
      <c r="V232" s="115" t="s">
        <v>71</v>
      </c>
      <c r="W232" s="115" t="s">
        <v>67</v>
      </c>
      <c r="X232" s="116" t="s">
        <v>69</v>
      </c>
    </row>
    <row r="233" spans="17:25" x14ac:dyDescent="0.15">
      <c r="Q233">
        <f>Q226+1</f>
        <v>108</v>
      </c>
      <c r="R233" s="166">
        <v>1</v>
      </c>
      <c r="S233" s="1">
        <f>$U$230*$C$24</f>
        <v>738.59060422370248</v>
      </c>
      <c r="T233" s="167">
        <f>$U$230*(100%-$C$24)</f>
        <v>82.065622691522478</v>
      </c>
      <c r="U233" s="168">
        <f>ROUND(U226*(1+$W$230),60)</f>
        <v>0.63288795972905298</v>
      </c>
      <c r="V233" s="169">
        <f>S233*$V$231</f>
        <v>118.1744966757924</v>
      </c>
      <c r="W233" s="186">
        <f>T233*U233</f>
        <v>51.938344509131937</v>
      </c>
      <c r="X233" s="170">
        <f t="shared" ref="X233:X244" si="53">W233+V233</f>
        <v>170.11284118492432</v>
      </c>
    </row>
    <row r="234" spans="17:25" x14ac:dyDescent="0.15">
      <c r="Q234">
        <f>Q233+1</f>
        <v>109</v>
      </c>
      <c r="R234" s="166">
        <v>2</v>
      </c>
      <c r="S234" s="1">
        <f>$U$230*$C$24</f>
        <v>738.59060422370248</v>
      </c>
      <c r="T234" s="167">
        <f>$U$230*(100%-$C$24)</f>
        <v>82.065622691522478</v>
      </c>
      <c r="U234" s="168">
        <f>ROUND(U233*(1+$W$86),60)</f>
        <v>0.63657980616080601</v>
      </c>
      <c r="V234" s="169">
        <f t="shared" ref="V234:V244" si="54">S234*$V$231</f>
        <v>118.1744966757924</v>
      </c>
      <c r="W234" s="186">
        <f t="shared" ref="W234:W244" si="55">T234*U234</f>
        <v>52.241318185435219</v>
      </c>
      <c r="X234" s="170">
        <f t="shared" si="53"/>
        <v>170.4158148612276</v>
      </c>
    </row>
    <row r="235" spans="17:25" x14ac:dyDescent="0.15">
      <c r="Q235">
        <f t="shared" ref="Q235:Q244" si="56">Q234+1</f>
        <v>110</v>
      </c>
      <c r="R235" s="166">
        <v>3</v>
      </c>
      <c r="S235" s="1">
        <f>$U$230*$C$24</f>
        <v>738.59060422370248</v>
      </c>
      <c r="T235" s="167">
        <f>$U$230*(100%-$C$24)</f>
        <v>82.065622691522478</v>
      </c>
      <c r="U235" s="168">
        <f t="shared" ref="U235:U244" si="57">ROUND(U234*(1+$W$86),60)</f>
        <v>0.64029318836340998</v>
      </c>
      <c r="V235" s="169">
        <f t="shared" si="54"/>
        <v>118.1744966757924</v>
      </c>
      <c r="W235" s="186">
        <f t="shared" si="55"/>
        <v>52.546059208183536</v>
      </c>
      <c r="X235" s="170">
        <f t="shared" si="53"/>
        <v>170.72055588397592</v>
      </c>
    </row>
    <row r="236" spans="17:25" x14ac:dyDescent="0.15">
      <c r="Q236">
        <f t="shared" si="56"/>
        <v>111</v>
      </c>
      <c r="R236" s="166">
        <v>4</v>
      </c>
      <c r="S236" s="1">
        <f>$U$230*$C$24</f>
        <v>738.59060422370248</v>
      </c>
      <c r="T236" s="167">
        <f>$U$230*(100%-$C$24)</f>
        <v>82.065622691522478</v>
      </c>
      <c r="U236" s="168">
        <f t="shared" si="57"/>
        <v>0.64402823196219605</v>
      </c>
      <c r="V236" s="169">
        <f t="shared" si="54"/>
        <v>118.1744966757924</v>
      </c>
      <c r="W236" s="186">
        <f t="shared" si="55"/>
        <v>52.852577886897897</v>
      </c>
      <c r="X236" s="170">
        <f t="shared" si="53"/>
        <v>171.0270745626903</v>
      </c>
    </row>
    <row r="237" spans="17:25" x14ac:dyDescent="0.15">
      <c r="Q237">
        <f t="shared" si="56"/>
        <v>112</v>
      </c>
      <c r="R237" s="166">
        <v>5</v>
      </c>
      <c r="S237" s="1">
        <f>$U$230*$C$24</f>
        <v>738.59060422370248</v>
      </c>
      <c r="T237" s="167">
        <f>$U$230*(100%-$C$24)</f>
        <v>82.065622691522478</v>
      </c>
      <c r="U237" s="168">
        <f t="shared" si="57"/>
        <v>0.64778506331530905</v>
      </c>
      <c r="V237" s="169">
        <f t="shared" si="54"/>
        <v>118.1744966757924</v>
      </c>
      <c r="W237" s="186">
        <f t="shared" si="55"/>
        <v>53.160884591238151</v>
      </c>
      <c r="X237" s="170">
        <f t="shared" si="53"/>
        <v>171.33538126703056</v>
      </c>
    </row>
    <row r="238" spans="17:25" x14ac:dyDescent="0.15">
      <c r="Q238">
        <f t="shared" si="56"/>
        <v>113</v>
      </c>
      <c r="R238" s="166">
        <v>6</v>
      </c>
      <c r="S238" s="1">
        <f>$U$230*$C$24</f>
        <v>738.59060422370248</v>
      </c>
      <c r="T238" s="167">
        <f>$U$230*(100%-$C$24)</f>
        <v>82.065622691522478</v>
      </c>
      <c r="U238" s="168">
        <f t="shared" si="57"/>
        <v>0.65156380951798099</v>
      </c>
      <c r="V238" s="169">
        <f t="shared" si="54"/>
        <v>118.1744966757924</v>
      </c>
      <c r="W238" s="186">
        <f t="shared" si="55"/>
        <v>53.470989751353649</v>
      </c>
      <c r="X238" s="170">
        <f t="shared" si="53"/>
        <v>171.64548642714604</v>
      </c>
    </row>
    <row r="239" spans="17:25" x14ac:dyDescent="0.15">
      <c r="Q239">
        <f t="shared" si="56"/>
        <v>114</v>
      </c>
      <c r="R239" s="166">
        <v>7</v>
      </c>
      <c r="S239" s="1">
        <f>$U$230*$C$24</f>
        <v>738.59060422370248</v>
      </c>
      <c r="T239" s="167">
        <f>$U$230*(100%-$C$24)</f>
        <v>82.065622691522478</v>
      </c>
      <c r="U239" s="168">
        <f t="shared" si="57"/>
        <v>0.65536459840683603</v>
      </c>
      <c r="V239" s="169">
        <f t="shared" si="54"/>
        <v>118.1744966757924</v>
      </c>
      <c r="W239" s="186">
        <f t="shared" si="55"/>
        <v>53.782903858236558</v>
      </c>
      <c r="X239" s="170">
        <f t="shared" si="53"/>
        <v>171.95740053402895</v>
      </c>
    </row>
    <row r="240" spans="17:25" x14ac:dyDescent="0.15">
      <c r="Q240">
        <f t="shared" si="56"/>
        <v>115</v>
      </c>
      <c r="R240" s="166">
        <v>8</v>
      </c>
      <c r="S240" s="1">
        <f>$U$230*$C$24</f>
        <v>738.59060422370248</v>
      </c>
      <c r="T240" s="167">
        <f>$U$230*(100%-$C$24)</f>
        <v>82.065622691522478</v>
      </c>
      <c r="U240" s="168">
        <f t="shared" si="57"/>
        <v>0.65918755856420896</v>
      </c>
      <c r="V240" s="169">
        <f t="shared" si="54"/>
        <v>118.1744966757924</v>
      </c>
      <c r="W240" s="186">
        <f t="shared" si="55"/>
        <v>54.096637464076252</v>
      </c>
      <c r="X240" s="170">
        <f t="shared" si="53"/>
        <v>172.27113413986865</v>
      </c>
    </row>
    <row r="241" spans="17:25" x14ac:dyDescent="0.15">
      <c r="Q241">
        <f t="shared" si="56"/>
        <v>116</v>
      </c>
      <c r="R241" s="166">
        <v>9</v>
      </c>
      <c r="S241" s="1">
        <f>$U$230*$C$24</f>
        <v>738.59060422370248</v>
      </c>
      <c r="T241" s="167">
        <f>$U$230*(100%-$C$24)</f>
        <v>82.065622691522478</v>
      </c>
      <c r="U241" s="168">
        <f t="shared" si="57"/>
        <v>0.66303281932250002</v>
      </c>
      <c r="V241" s="169">
        <f t="shared" si="54"/>
        <v>118.1744966757924</v>
      </c>
      <c r="W241" s="186">
        <f t="shared" si="55"/>
        <v>54.412201182616684</v>
      </c>
      <c r="X241" s="170">
        <f t="shared" si="53"/>
        <v>172.58669785840908</v>
      </c>
    </row>
    <row r="242" spans="17:25" x14ac:dyDescent="0.15">
      <c r="Q242">
        <f t="shared" si="56"/>
        <v>117</v>
      </c>
      <c r="R242" s="166">
        <v>10</v>
      </c>
      <c r="S242" s="1">
        <f>$U$230*$C$24</f>
        <v>738.59060422370248</v>
      </c>
      <c r="T242" s="167">
        <f>$U$230*(100%-$C$24)</f>
        <v>82.065622691522478</v>
      </c>
      <c r="U242" s="168">
        <f t="shared" si="57"/>
        <v>0.66690051076854795</v>
      </c>
      <c r="V242" s="169">
        <f t="shared" si="54"/>
        <v>118.1744966757924</v>
      </c>
      <c r="W242" s="186">
        <f t="shared" si="55"/>
        <v>54.729605689515282</v>
      </c>
      <c r="X242" s="170">
        <f t="shared" si="53"/>
        <v>172.90410236530766</v>
      </c>
    </row>
    <row r="243" spans="17:25" x14ac:dyDescent="0.15">
      <c r="Q243">
        <f t="shared" si="56"/>
        <v>118</v>
      </c>
      <c r="R243" s="166">
        <v>11</v>
      </c>
      <c r="S243" s="1">
        <f>$U$230*$C$24</f>
        <v>738.59060422370248</v>
      </c>
      <c r="T243" s="167">
        <f>$U$230*(100%-$C$24)</f>
        <v>82.065622691522478</v>
      </c>
      <c r="U243" s="168">
        <f t="shared" si="57"/>
        <v>0.67079076374803104</v>
      </c>
      <c r="V243" s="169">
        <f t="shared" si="54"/>
        <v>118.1744966757924</v>
      </c>
      <c r="W243" s="186">
        <f t="shared" si="55"/>
        <v>55.04886172270411</v>
      </c>
      <c r="X243" s="170">
        <f t="shared" si="53"/>
        <v>173.22335839849652</v>
      </c>
    </row>
    <row r="244" spans="17:25" x14ac:dyDescent="0.15">
      <c r="Q244">
        <f t="shared" si="56"/>
        <v>119</v>
      </c>
      <c r="R244" s="166">
        <v>12</v>
      </c>
      <c r="S244" s="1">
        <f>$U$230*$C$24</f>
        <v>738.59060422370248</v>
      </c>
      <c r="T244" s="167">
        <f>$U$230*(100%-$C$24)</f>
        <v>82.065622691522478</v>
      </c>
      <c r="U244" s="168">
        <f t="shared" si="57"/>
        <v>0.67470370986989403</v>
      </c>
      <c r="V244" s="169">
        <f t="shared" si="54"/>
        <v>118.1744966757924</v>
      </c>
      <c r="W244" s="186">
        <f t="shared" si="55"/>
        <v>55.369980082753173</v>
      </c>
      <c r="X244" s="170">
        <f t="shared" si="53"/>
        <v>173.54447675854556</v>
      </c>
    </row>
    <row r="245" spans="17:25" ht="16" x14ac:dyDescent="0.3">
      <c r="S245" s="118">
        <f>IF($C$17&gt;=S230,SUM(S233:S244),"")</f>
        <v>8863.087250684428</v>
      </c>
      <c r="T245" s="119">
        <f>IF($C$17&gt;=S230,SUM(T233:T244),"")</f>
        <v>984.78747229826956</v>
      </c>
      <c r="U245" s="108">
        <f>IF(Y246="",0,AVERAGE(U233:U244))</f>
        <v>0.65359316831073111</v>
      </c>
      <c r="V245" s="120">
        <f>IF($C$17&gt;=S230,SUM(V233:V244),"")</f>
        <v>1418.0939601095088</v>
      </c>
      <c r="W245" s="121">
        <f>IF($C$17&gt;=S230,SUM(W233:W244),"")</f>
        <v>643.6503641321425</v>
      </c>
      <c r="X245" s="121">
        <f>IF($C$17&gt;=S230,SUM(X233:X244),"")</f>
        <v>2061.7443242416512</v>
      </c>
    </row>
    <row r="246" spans="17:25" x14ac:dyDescent="0.15">
      <c r="W246" s="222" t="s">
        <v>53</v>
      </c>
      <c r="X246" s="117">
        <f>IF(AND($D$36="Yes",$D$38+1=S230,$C$17&gt;=S230),$B$38,0)</f>
        <v>0</v>
      </c>
      <c r="Y246" s="142">
        <f>IF(X245="",0,IF(AND($C$41="No",$D$36="No"),X245,IF(AND($C$41="Yes",$D$36="Yes"),(X245-X246)-($D$9+$B$38)*$E$41,IF(AND($C$41="Yes",$D$36="No"),X245-($D$9*$E$41),IF(AND($C$41="No",$D$36="Yes"),X245-X246,X245)))))</f>
        <v>2061.7443242416512</v>
      </c>
    </row>
    <row r="247" spans="17:25" ht="14" thickBot="1" x14ac:dyDescent="0.2">
      <c r="Y247" s="245" t="s">
        <v>85</v>
      </c>
    </row>
    <row r="248" spans="17:25" ht="17" thickBot="1" x14ac:dyDescent="0.25">
      <c r="R248" s="126" t="s">
        <v>48</v>
      </c>
      <c r="S248" s="127">
        <v>11</v>
      </c>
      <c r="T248" s="154" t="s">
        <v>66</v>
      </c>
      <c r="U248" s="143">
        <f>U230-($C$34*U230)</f>
        <v>818.19425823447921</v>
      </c>
      <c r="V248" s="155" t="s">
        <v>68</v>
      </c>
      <c r="W248" s="185">
        <f>ROUND($C$22/12,15)</f>
        <v>5.8333333333329997E-3</v>
      </c>
      <c r="X248" s="261">
        <f>IF(X263="",0,Y231/POWER($C$34+1,1)/POWER($E$41+1,S248))</f>
        <v>7072.3925079665769</v>
      </c>
      <c r="Y248" s="246">
        <f>U248*12</f>
        <v>9818.3310988137509</v>
      </c>
    </row>
    <row r="249" spans="17:25" x14ac:dyDescent="0.15">
      <c r="U249" s="183" t="s">
        <v>76</v>
      </c>
      <c r="V249" s="166">
        <f>IF(S248&lt;=$C$29,$C$26,IF(AND(S248&gt;$C$29,$B$32="Yes"),AVERAGE(U251:U262),$D$32))</f>
        <v>0.16</v>
      </c>
      <c r="Y249" s="250">
        <f>IF(X248&gt;0,($D$12)/POWER($C$34+1,S248),0)</f>
        <v>9789.8452565851421</v>
      </c>
    </row>
    <row r="250" spans="17:25" x14ac:dyDescent="0.15">
      <c r="R250" s="122" t="s">
        <v>70</v>
      </c>
      <c r="S250" s="124">
        <f>$C$24</f>
        <v>0.9</v>
      </c>
      <c r="T250" s="125">
        <f>100%-$S$88</f>
        <v>9.9999999999999978E-2</v>
      </c>
      <c r="U250" s="112" t="s">
        <v>72</v>
      </c>
      <c r="V250" s="115" t="s">
        <v>71</v>
      </c>
      <c r="W250" s="115" t="s">
        <v>67</v>
      </c>
      <c r="X250" s="116" t="s">
        <v>69</v>
      </c>
    </row>
    <row r="251" spans="17:25" x14ac:dyDescent="0.15">
      <c r="Q251">
        <f>Q244+1</f>
        <v>120</v>
      </c>
      <c r="R251" s="166">
        <v>1</v>
      </c>
      <c r="S251" s="1">
        <f>$U$248*$C$24</f>
        <v>736.37483241103132</v>
      </c>
      <c r="T251" s="167">
        <f>$U$248*(100%-$C$24)</f>
        <v>81.819425823447901</v>
      </c>
      <c r="U251" s="168">
        <f>ROUND(U244*(1+W248),60)</f>
        <v>0.678639481510801</v>
      </c>
      <c r="V251" s="169">
        <f>S251*$V$249</f>
        <v>117.81997318576501</v>
      </c>
      <c r="W251" s="186">
        <f t="shared" ref="W251:W262" si="58">T251*U251</f>
        <v>55.525892718336124</v>
      </c>
      <c r="X251" s="170">
        <f t="shared" ref="X251:X262" si="59">W251+V251</f>
        <v>173.34586590410112</v>
      </c>
    </row>
    <row r="252" spans="17:25" x14ac:dyDescent="0.15">
      <c r="Q252">
        <f>Q251+1</f>
        <v>121</v>
      </c>
      <c r="R252" s="166">
        <v>2</v>
      </c>
      <c r="S252" s="1">
        <f>$U$248*$C$24</f>
        <v>736.37483241103132</v>
      </c>
      <c r="T252" s="167">
        <f>$U$248*(100%-$C$24)</f>
        <v>81.819425823447901</v>
      </c>
      <c r="U252" s="168">
        <f>ROUND(U251*(1+$W$248),60)</f>
        <v>0.682598211819614</v>
      </c>
      <c r="V252" s="169">
        <f t="shared" ref="V252:V262" si="60">S252*$V$249</f>
        <v>117.81997318576501</v>
      </c>
      <c r="W252" s="186">
        <f t="shared" si="58"/>
        <v>55.849793759193084</v>
      </c>
      <c r="X252" s="170">
        <f t="shared" si="59"/>
        <v>173.6697669449581</v>
      </c>
    </row>
    <row r="253" spans="17:25" x14ac:dyDescent="0.15">
      <c r="Q253">
        <f t="shared" ref="Q253:Q262" si="61">Q252+1</f>
        <v>122</v>
      </c>
      <c r="R253" s="166">
        <v>3</v>
      </c>
      <c r="S253" s="1">
        <f>$U$248*$C$24</f>
        <v>736.37483241103132</v>
      </c>
      <c r="T253" s="167">
        <f>$U$248*(100%-$C$24)</f>
        <v>81.819425823447901</v>
      </c>
      <c r="U253" s="168">
        <f t="shared" ref="U253:U262" si="62">ROUND(U252*(1+$W$248),60)</f>
        <v>0.68658003472189499</v>
      </c>
      <c r="V253" s="169">
        <f t="shared" si="60"/>
        <v>117.81997318576501</v>
      </c>
      <c r="W253" s="186">
        <f t="shared" si="58"/>
        <v>56.175584222788373</v>
      </c>
      <c r="X253" s="170">
        <f t="shared" si="59"/>
        <v>173.9955574085534</v>
      </c>
    </row>
    <row r="254" spans="17:25" x14ac:dyDescent="0.15">
      <c r="Q254">
        <f t="shared" si="61"/>
        <v>123</v>
      </c>
      <c r="R254" s="166">
        <v>4</v>
      </c>
      <c r="S254" s="1">
        <f>$U$248*$C$24</f>
        <v>736.37483241103132</v>
      </c>
      <c r="T254" s="167">
        <f>$U$248*(100%-$C$24)</f>
        <v>81.819425823447901</v>
      </c>
      <c r="U254" s="168">
        <f t="shared" si="62"/>
        <v>0.69058508492443904</v>
      </c>
      <c r="V254" s="169">
        <f t="shared" si="60"/>
        <v>117.81997318576501</v>
      </c>
      <c r="W254" s="186">
        <f t="shared" si="58"/>
        <v>56.503275130754609</v>
      </c>
      <c r="X254" s="170">
        <f t="shared" si="59"/>
        <v>174.32324831651962</v>
      </c>
    </row>
    <row r="255" spans="17:25" x14ac:dyDescent="0.15">
      <c r="Q255">
        <f t="shared" si="61"/>
        <v>124</v>
      </c>
      <c r="R255" s="166">
        <v>5</v>
      </c>
      <c r="S255" s="1">
        <f>$U$248*$C$24</f>
        <v>736.37483241103132</v>
      </c>
      <c r="T255" s="167">
        <f>$U$248*(100%-$C$24)</f>
        <v>81.819425823447901</v>
      </c>
      <c r="U255" s="168">
        <f t="shared" si="62"/>
        <v>0.69461349791983096</v>
      </c>
      <c r="V255" s="169">
        <f t="shared" si="60"/>
        <v>117.81997318576501</v>
      </c>
      <c r="W255" s="186">
        <f t="shared" si="58"/>
        <v>56.832877569017292</v>
      </c>
      <c r="X255" s="170">
        <f t="shared" si="59"/>
        <v>174.65285075478229</v>
      </c>
    </row>
    <row r="256" spans="17:25" x14ac:dyDescent="0.15">
      <c r="Q256">
        <f t="shared" si="61"/>
        <v>125</v>
      </c>
      <c r="R256" s="166">
        <v>6</v>
      </c>
      <c r="S256" s="1">
        <f>$U$248*$C$24</f>
        <v>736.37483241103132</v>
      </c>
      <c r="T256" s="167">
        <f>$U$248*(100%-$C$24)</f>
        <v>81.819425823447901</v>
      </c>
      <c r="U256" s="168">
        <f t="shared" si="62"/>
        <v>0.69866540999103</v>
      </c>
      <c r="V256" s="169">
        <f t="shared" si="60"/>
        <v>117.81997318576501</v>
      </c>
      <c r="W256" s="186">
        <f t="shared" si="58"/>
        <v>57.164402688169893</v>
      </c>
      <c r="X256" s="170">
        <f t="shared" si="59"/>
        <v>174.98437587393491</v>
      </c>
    </row>
    <row r="257" spans="17:25" x14ac:dyDescent="0.15">
      <c r="Q257">
        <f t="shared" si="61"/>
        <v>126</v>
      </c>
      <c r="R257" s="166">
        <v>7</v>
      </c>
      <c r="S257" s="1">
        <f>$U$248*$C$24</f>
        <v>736.37483241103132</v>
      </c>
      <c r="T257" s="167">
        <f>$U$248*(100%-$C$24)</f>
        <v>81.819425823447901</v>
      </c>
      <c r="U257" s="168">
        <f t="shared" si="62"/>
        <v>0.70274095821597704</v>
      </c>
      <c r="V257" s="169">
        <f t="shared" si="60"/>
        <v>117.81997318576501</v>
      </c>
      <c r="W257" s="186">
        <f t="shared" si="58"/>
        <v>57.497861703850838</v>
      </c>
      <c r="X257" s="170">
        <f t="shared" si="59"/>
        <v>175.31783488961585</v>
      </c>
    </row>
    <row r="258" spans="17:25" x14ac:dyDescent="0.15">
      <c r="Q258">
        <f t="shared" si="61"/>
        <v>127</v>
      </c>
      <c r="R258" s="166">
        <v>8</v>
      </c>
      <c r="S258" s="1">
        <f>$U$248*$C$24</f>
        <v>736.37483241103132</v>
      </c>
      <c r="T258" s="167">
        <f>$U$248*(100%-$C$24)</f>
        <v>81.819425823447901</v>
      </c>
      <c r="U258" s="168">
        <f t="shared" si="62"/>
        <v>0.70684028047223701</v>
      </c>
      <c r="V258" s="169">
        <f t="shared" si="60"/>
        <v>117.81997318576501</v>
      </c>
      <c r="W258" s="186">
        <f t="shared" si="58"/>
        <v>57.833265897123304</v>
      </c>
      <c r="X258" s="170">
        <f t="shared" si="59"/>
        <v>175.65323908288832</v>
      </c>
    </row>
    <row r="259" spans="17:25" x14ac:dyDescent="0.15">
      <c r="Q259">
        <f t="shared" si="61"/>
        <v>128</v>
      </c>
      <c r="R259" s="166">
        <v>9</v>
      </c>
      <c r="S259" s="1">
        <f>$U$248*$C$24</f>
        <v>736.37483241103132</v>
      </c>
      <c r="T259" s="167">
        <f>$U$248*(100%-$C$24)</f>
        <v>81.819425823447901</v>
      </c>
      <c r="U259" s="168">
        <f t="shared" si="62"/>
        <v>0.71096351544165803</v>
      </c>
      <c r="V259" s="169">
        <f t="shared" si="60"/>
        <v>117.81997318576501</v>
      </c>
      <c r="W259" s="186">
        <f t="shared" si="58"/>
        <v>58.170626614856495</v>
      </c>
      <c r="X259" s="170">
        <f t="shared" si="59"/>
        <v>175.99059980062151</v>
      </c>
    </row>
    <row r="260" spans="17:25" x14ac:dyDescent="0.15">
      <c r="Q260">
        <f t="shared" si="61"/>
        <v>129</v>
      </c>
      <c r="R260" s="166">
        <v>10</v>
      </c>
      <c r="S260" s="1">
        <f>$U$248*$C$24</f>
        <v>736.37483241103132</v>
      </c>
      <c r="T260" s="167">
        <f>$U$248*(100%-$C$24)</f>
        <v>81.819425823447901</v>
      </c>
      <c r="U260" s="168">
        <f t="shared" si="62"/>
        <v>0.71511080261506699</v>
      </c>
      <c r="V260" s="169">
        <f t="shared" si="60"/>
        <v>117.81997318576501</v>
      </c>
      <c r="W260" s="186">
        <f t="shared" si="58"/>
        <v>58.509955270109764</v>
      </c>
      <c r="X260" s="170">
        <f t="shared" si="59"/>
        <v>176.32992845587478</v>
      </c>
    </row>
    <row r="261" spans="17:25" x14ac:dyDescent="0.15">
      <c r="Q261">
        <f t="shared" si="61"/>
        <v>130</v>
      </c>
      <c r="R261" s="166">
        <v>11</v>
      </c>
      <c r="S261" s="1">
        <f>$U$248*$C$24</f>
        <v>736.37483241103132</v>
      </c>
      <c r="T261" s="167">
        <f>$U$248*(100%-$C$24)</f>
        <v>81.819425823447901</v>
      </c>
      <c r="U261" s="168">
        <f t="shared" si="62"/>
        <v>0.71928228229698798</v>
      </c>
      <c r="V261" s="169">
        <f t="shared" si="60"/>
        <v>117.81997318576501</v>
      </c>
      <c r="W261" s="186">
        <f t="shared" si="58"/>
        <v>58.85126334251872</v>
      </c>
      <c r="X261" s="170">
        <f t="shared" si="59"/>
        <v>176.67123652828371</v>
      </c>
    </row>
    <row r="262" spans="17:25" x14ac:dyDescent="0.15">
      <c r="Q262">
        <f t="shared" si="61"/>
        <v>131</v>
      </c>
      <c r="R262" s="166">
        <v>12</v>
      </c>
      <c r="S262" s="1">
        <f>$U$248*$C$24</f>
        <v>736.37483241103132</v>
      </c>
      <c r="T262" s="167">
        <f>$U$248*(100%-$C$24)</f>
        <v>81.819425823447901</v>
      </c>
      <c r="U262" s="168">
        <f t="shared" si="62"/>
        <v>0.72347809561038701</v>
      </c>
      <c r="V262" s="169">
        <f t="shared" si="60"/>
        <v>117.81997318576501</v>
      </c>
      <c r="W262" s="186">
        <f t="shared" si="58"/>
        <v>59.194562378683408</v>
      </c>
      <c r="X262" s="170">
        <f t="shared" si="59"/>
        <v>177.01453556444841</v>
      </c>
    </row>
    <row r="263" spans="17:25" ht="16" x14ac:dyDescent="0.3">
      <c r="S263" s="118">
        <f>IF($C$17&gt;=S248,SUM(S251:S262),"")</f>
        <v>8836.4979889323749</v>
      </c>
      <c r="T263" s="119">
        <f>IF($C$17&gt;=S248,SUM(T251:T262),"")</f>
        <v>981.83310988137475</v>
      </c>
      <c r="U263" s="108">
        <f>IF(Y264="",0,AVERAGE(U251:U262))</f>
        <v>0.70084147129499363</v>
      </c>
      <c r="V263" s="120">
        <f>IF($C$17&gt;=S248,SUM(V251:V262),"")</f>
        <v>1413.8396782291802</v>
      </c>
      <c r="W263" s="121">
        <f>IF($C$17&gt;=S248,SUM(W251:W262),"")</f>
        <v>688.10936129540175</v>
      </c>
      <c r="X263" s="121">
        <f>IF($C$17&gt;=S248,SUM(X251:X262),"")</f>
        <v>2101.9490395245821</v>
      </c>
    </row>
    <row r="264" spans="17:25" x14ac:dyDescent="0.15">
      <c r="W264" s="222" t="s">
        <v>53</v>
      </c>
      <c r="X264" s="117">
        <f>IF(AND($D$36="Yes",$D$38+1=S248,$C$17&gt;=S248),$B$38,0)</f>
        <v>0</v>
      </c>
      <c r="Y264" s="142">
        <f>IF(X263="",0,IF(AND($C$41="No",$D$36="No"),X263,IF(AND($C$41="Yes",$D$36="Yes"),(X263-X264)-($D$9+$B$38)*$E$41,IF(AND($C$41="Yes",$D$36="No"),X263-($D$9*$E$41),IF(AND($C$41="No",$D$36="Yes"),X263-X264,X263)))))</f>
        <v>2101.9490395245821</v>
      </c>
    </row>
    <row r="265" spans="17:25" ht="14" thickBot="1" x14ac:dyDescent="0.2">
      <c r="Y265" s="245" t="s">
        <v>85</v>
      </c>
    </row>
    <row r="266" spans="17:25" ht="17" thickBot="1" x14ac:dyDescent="0.25">
      <c r="R266" s="126" t="s">
        <v>48</v>
      </c>
      <c r="S266" s="127">
        <v>12</v>
      </c>
      <c r="T266" s="154" t="s">
        <v>66</v>
      </c>
      <c r="U266" s="143">
        <f>U248-($C$34*U248)</f>
        <v>815.73967545977575</v>
      </c>
      <c r="V266" s="155" t="s">
        <v>68</v>
      </c>
      <c r="W266" s="185">
        <f>ROUND($C$22/12,15)</f>
        <v>5.8333333333329997E-3</v>
      </c>
      <c r="X266" s="261">
        <f>IF(X281="",0,Y249/POWER($C$34+1,1)/POWER($E$41+1,S266))</f>
        <v>6845.8629044580603</v>
      </c>
      <c r="Y266" s="246">
        <f>U266*12</f>
        <v>9788.876105517309</v>
      </c>
    </row>
    <row r="267" spans="17:25" x14ac:dyDescent="0.15">
      <c r="U267" s="183" t="s">
        <v>76</v>
      </c>
      <c r="V267" s="166">
        <f>IF(S266&lt;=$C$29,$C$26,IF(AND(S266&gt;$C$29,$B$32="Yes"),AVERAGE(U269:U280),$D$32))</f>
        <v>0.16</v>
      </c>
      <c r="Y267" s="250">
        <f>IF(X266&gt;0,($D$12)/POWER($C$34+1,S266),0)</f>
        <v>9760.5635658874817</v>
      </c>
    </row>
    <row r="268" spans="17:25" x14ac:dyDescent="0.15">
      <c r="R268" s="122" t="s">
        <v>70</v>
      </c>
      <c r="S268" s="124">
        <f>$C$24</f>
        <v>0.9</v>
      </c>
      <c r="T268" s="125">
        <f>100%-$S$88</f>
        <v>9.9999999999999978E-2</v>
      </c>
      <c r="U268" s="112" t="s">
        <v>72</v>
      </c>
      <c r="V268" s="115" t="s">
        <v>71</v>
      </c>
      <c r="W268" s="115" t="s">
        <v>67</v>
      </c>
      <c r="X268" s="116" t="s">
        <v>69</v>
      </c>
    </row>
    <row r="269" spans="17:25" x14ac:dyDescent="0.15">
      <c r="Q269">
        <f>Q262+1</f>
        <v>132</v>
      </c>
      <c r="R269" s="166">
        <v>1</v>
      </c>
      <c r="S269" s="1">
        <f>$U$266*$C$24</f>
        <v>734.1657079137982</v>
      </c>
      <c r="T269" s="167">
        <f>$U$266*(100%-$C$24)</f>
        <v>81.573967545977553</v>
      </c>
      <c r="U269" s="168">
        <f>ROUND(U262*(1+$W$266),60)</f>
        <v>0.72769838450144697</v>
      </c>
      <c r="V269" s="169">
        <f>S269*$V$267</f>
        <v>117.46651326620771</v>
      </c>
      <c r="W269" s="186">
        <f t="shared" ref="W269:W280" si="63">T269*U269</f>
        <v>59.361244400581327</v>
      </c>
      <c r="X269" s="170">
        <f t="shared" ref="X269:X280" si="64">W269+V269</f>
        <v>176.82775766678904</v>
      </c>
    </row>
    <row r="270" spans="17:25" x14ac:dyDescent="0.15">
      <c r="Q270">
        <f>Q269+1</f>
        <v>133</v>
      </c>
      <c r="R270" s="166">
        <v>2</v>
      </c>
      <c r="S270" s="1">
        <f>$U$266*$C$24</f>
        <v>734.1657079137982</v>
      </c>
      <c r="T270" s="167">
        <f>$U$266*(100%-$C$24)</f>
        <v>81.573967545977553</v>
      </c>
      <c r="U270" s="168">
        <f>ROUND(U269*(1+$W$266),60)</f>
        <v>0.731943291744372</v>
      </c>
      <c r="V270" s="169">
        <f t="shared" ref="V270:V280" si="65">S270*$V$267</f>
        <v>117.46651326620771</v>
      </c>
      <c r="W270" s="186">
        <f t="shared" si="63"/>
        <v>59.707518326251382</v>
      </c>
      <c r="X270" s="170">
        <f t="shared" si="64"/>
        <v>177.1740315924591</v>
      </c>
    </row>
    <row r="271" spans="17:25" x14ac:dyDescent="0.15">
      <c r="Q271">
        <f t="shared" ref="Q271:Q280" si="66">Q270+1</f>
        <v>134</v>
      </c>
      <c r="R271" s="166">
        <v>3</v>
      </c>
      <c r="S271" s="1">
        <f>$U$266*$C$24</f>
        <v>734.1657079137982</v>
      </c>
      <c r="T271" s="167">
        <f>$U$266*(100%-$C$24)</f>
        <v>81.573967545977553</v>
      </c>
      <c r="U271" s="168">
        <f t="shared" ref="U271:U280" si="67">ROUND(U270*(1+$W$266),60)</f>
        <v>0.73621296094621402</v>
      </c>
      <c r="V271" s="169">
        <f t="shared" si="65"/>
        <v>117.46651326620771</v>
      </c>
      <c r="W271" s="186">
        <f t="shared" si="63"/>
        <v>60.055812183154501</v>
      </c>
      <c r="X271" s="170">
        <f t="shared" si="64"/>
        <v>177.5223254493622</v>
      </c>
    </row>
    <row r="272" spans="17:25" x14ac:dyDescent="0.15">
      <c r="Q272">
        <f t="shared" si="66"/>
        <v>135</v>
      </c>
      <c r="R272" s="166">
        <v>4</v>
      </c>
      <c r="S272" s="1">
        <f>$U$266*$C$24</f>
        <v>734.1657079137982</v>
      </c>
      <c r="T272" s="167">
        <f>$U$266*(100%-$C$24)</f>
        <v>81.573967545977553</v>
      </c>
      <c r="U272" s="168">
        <f t="shared" si="67"/>
        <v>0.74050753655173296</v>
      </c>
      <c r="V272" s="169">
        <f t="shared" si="65"/>
        <v>117.46651326620771</v>
      </c>
      <c r="W272" s="186">
        <f t="shared" si="63"/>
        <v>60.406137754222854</v>
      </c>
      <c r="X272" s="170">
        <f t="shared" si="64"/>
        <v>177.87265102043057</v>
      </c>
    </row>
    <row r="273" spans="17:25" x14ac:dyDescent="0.15">
      <c r="Q273">
        <f t="shared" si="66"/>
        <v>136</v>
      </c>
      <c r="R273" s="166">
        <v>5</v>
      </c>
      <c r="S273" s="1">
        <f>$U$266*$C$24</f>
        <v>734.1657079137982</v>
      </c>
      <c r="T273" s="167">
        <f>$U$266*(100%-$C$24)</f>
        <v>81.573967545977553</v>
      </c>
      <c r="U273" s="168">
        <f t="shared" si="67"/>
        <v>0.74482716384828396</v>
      </c>
      <c r="V273" s="169">
        <f t="shared" si="65"/>
        <v>117.46651326620771</v>
      </c>
      <c r="W273" s="186">
        <f t="shared" si="63"/>
        <v>60.758506891122423</v>
      </c>
      <c r="X273" s="170">
        <f t="shared" si="64"/>
        <v>178.22502015733014</v>
      </c>
    </row>
    <row r="274" spans="17:25" x14ac:dyDescent="0.15">
      <c r="Q274">
        <f t="shared" si="66"/>
        <v>137</v>
      </c>
      <c r="R274" s="166">
        <v>6</v>
      </c>
      <c r="S274" s="1">
        <f>$U$266*$C$24</f>
        <v>734.1657079137982</v>
      </c>
      <c r="T274" s="167">
        <f>$U$266*(100%-$C$24)</f>
        <v>81.573967545977553</v>
      </c>
      <c r="U274" s="168">
        <f t="shared" si="67"/>
        <v>0.74917198897073201</v>
      </c>
      <c r="V274" s="169">
        <f t="shared" si="65"/>
        <v>117.46651326620771</v>
      </c>
      <c r="W274" s="186">
        <f t="shared" si="63"/>
        <v>61.112931514653944</v>
      </c>
      <c r="X274" s="170">
        <f t="shared" si="64"/>
        <v>178.57944478086165</v>
      </c>
    </row>
    <row r="275" spans="17:25" x14ac:dyDescent="0.15">
      <c r="Q275">
        <f t="shared" si="66"/>
        <v>138</v>
      </c>
      <c r="R275" s="166">
        <v>7</v>
      </c>
      <c r="S275" s="1">
        <f>$U$266*$C$24</f>
        <v>734.1657079137982</v>
      </c>
      <c r="T275" s="167">
        <f>$U$266*(100%-$C$24)</f>
        <v>81.573967545977553</v>
      </c>
      <c r="U275" s="168">
        <f t="shared" si="67"/>
        <v>0.75354215890639398</v>
      </c>
      <c r="V275" s="169">
        <f t="shared" si="65"/>
        <v>117.46651326620771</v>
      </c>
      <c r="W275" s="186">
        <f t="shared" si="63"/>
        <v>61.469423615156039</v>
      </c>
      <c r="X275" s="170">
        <f t="shared" si="64"/>
        <v>178.93593688136374</v>
      </c>
    </row>
    <row r="276" spans="17:25" x14ac:dyDescent="0.15">
      <c r="Q276">
        <f t="shared" si="66"/>
        <v>139</v>
      </c>
      <c r="R276" s="166">
        <v>8</v>
      </c>
      <c r="S276" s="1">
        <f>$U$266*$C$24</f>
        <v>734.1657079137982</v>
      </c>
      <c r="T276" s="167">
        <f>$U$266*(100%-$C$24)</f>
        <v>81.573967545977553</v>
      </c>
      <c r="U276" s="168">
        <f t="shared" si="67"/>
        <v>0.75793782150001399</v>
      </c>
      <c r="V276" s="169">
        <f t="shared" si="65"/>
        <v>117.46651326620771</v>
      </c>
      <c r="W276" s="186">
        <f t="shared" si="63"/>
        <v>61.827995252911066</v>
      </c>
      <c r="X276" s="170">
        <f t="shared" si="64"/>
        <v>179.29450851911878</v>
      </c>
    </row>
    <row r="277" spans="17:25" x14ac:dyDescent="0.15">
      <c r="Q277">
        <f t="shared" si="66"/>
        <v>140</v>
      </c>
      <c r="R277" s="166">
        <v>9</v>
      </c>
      <c r="S277" s="1">
        <f>$U$266*$C$24</f>
        <v>734.1657079137982</v>
      </c>
      <c r="T277" s="167">
        <f>$U$266*(100%-$C$24)</f>
        <v>81.573967545977553</v>
      </c>
      <c r="U277" s="168">
        <f t="shared" si="67"/>
        <v>0.76235912545876405</v>
      </c>
      <c r="V277" s="169">
        <f t="shared" si="65"/>
        <v>117.46651326620771</v>
      </c>
      <c r="W277" s="186">
        <f t="shared" si="63"/>
        <v>62.188658558553051</v>
      </c>
      <c r="X277" s="170">
        <f t="shared" si="64"/>
        <v>179.65517182476077</v>
      </c>
    </row>
    <row r="278" spans="17:25" x14ac:dyDescent="0.15">
      <c r="Q278">
        <f t="shared" si="66"/>
        <v>141</v>
      </c>
      <c r="R278" s="166">
        <v>10</v>
      </c>
      <c r="S278" s="1">
        <f>$U$266*$C$24</f>
        <v>734.1657079137982</v>
      </c>
      <c r="T278" s="167">
        <f>$U$266*(100%-$C$24)</f>
        <v>81.573967545977553</v>
      </c>
      <c r="U278" s="168">
        <f t="shared" si="67"/>
        <v>0.76680622035727297</v>
      </c>
      <c r="V278" s="169">
        <f t="shared" si="65"/>
        <v>117.46651326620771</v>
      </c>
      <c r="W278" s="186">
        <f t="shared" si="63"/>
        <v>62.551425733477899</v>
      </c>
      <c r="X278" s="170">
        <f t="shared" si="64"/>
        <v>180.01793899968561</v>
      </c>
    </row>
    <row r="279" spans="17:25" x14ac:dyDescent="0.15">
      <c r="Q279">
        <f t="shared" si="66"/>
        <v>142</v>
      </c>
      <c r="R279" s="166">
        <v>11</v>
      </c>
      <c r="S279" s="1">
        <f>$U$266*$C$24</f>
        <v>734.1657079137982</v>
      </c>
      <c r="T279" s="167">
        <f>$U$266*(100%-$C$24)</f>
        <v>81.573967545977553</v>
      </c>
      <c r="U279" s="168">
        <f t="shared" si="67"/>
        <v>0.77127925664269004</v>
      </c>
      <c r="V279" s="169">
        <f t="shared" si="65"/>
        <v>117.46651326620771</v>
      </c>
      <c r="W279" s="186">
        <f t="shared" si="63"/>
        <v>62.916309050256487</v>
      </c>
      <c r="X279" s="170">
        <f t="shared" si="64"/>
        <v>180.3828223164642</v>
      </c>
    </row>
    <row r="280" spans="17:25" x14ac:dyDescent="0.15">
      <c r="Q280">
        <f t="shared" si="66"/>
        <v>143</v>
      </c>
      <c r="R280" s="166">
        <v>12</v>
      </c>
      <c r="S280" s="1">
        <f>$U$266*$C$24</f>
        <v>734.1657079137982</v>
      </c>
      <c r="T280" s="167">
        <f>$U$266*(100%-$C$24)</f>
        <v>81.573967545977553</v>
      </c>
      <c r="U280" s="168">
        <f t="shared" si="67"/>
        <v>0.77577838563977197</v>
      </c>
      <c r="V280" s="169">
        <f t="shared" si="65"/>
        <v>117.46651326620771</v>
      </c>
      <c r="W280" s="186">
        <f t="shared" si="63"/>
        <v>63.283320853049617</v>
      </c>
      <c r="X280" s="170">
        <f t="shared" si="64"/>
        <v>180.74983411925734</v>
      </c>
    </row>
    <row r="281" spans="17:25" ht="16" x14ac:dyDescent="0.3">
      <c r="S281" s="118">
        <f>IF($C$17&gt;=S266,SUM(S269:S280),"")</f>
        <v>8809.9884949655807</v>
      </c>
      <c r="T281" s="119">
        <f>IF($C$17&gt;=S266,SUM(T269:T280),"")</f>
        <v>978.88761055173063</v>
      </c>
      <c r="U281" s="108">
        <f>IF(Y282="",0,AVERAGE(U269:U280))</f>
        <v>0.75150535792230733</v>
      </c>
      <c r="V281" s="120">
        <f>IF($C$17&gt;=S266,SUM(V269:V280),"")</f>
        <v>1409.5981591944928</v>
      </c>
      <c r="W281" s="121">
        <f>IF($C$17&gt;=S266,SUM(W269:W280),"")</f>
        <v>735.63928413339056</v>
      </c>
      <c r="X281" s="121">
        <f>IF($C$17&gt;=S266,SUM(X269:X280),"")</f>
        <v>2145.2374433278833</v>
      </c>
    </row>
    <row r="282" spans="17:25" x14ac:dyDescent="0.15">
      <c r="W282" s="222" t="s">
        <v>53</v>
      </c>
      <c r="X282" s="117">
        <f>IF(AND($D$36="Yes",$D$38+1=S266,$C$17&gt;=S266),$B$38,0)</f>
        <v>0</v>
      </c>
      <c r="Y282" s="142">
        <f>IF(X281="",0,IF(AND($C$41="No",$D$36="No"),X281,IF(AND($C$41="Yes",$D$36="Yes"),(X281-X282)-($D$9+$B$38)*$E$41,IF(AND($C$41="Yes",$D$36="No"),X281-($D$9*$E$41),IF(AND($C$41="No",$D$36="Yes"),X281-X282,X281)))))</f>
        <v>2145.2374433278833</v>
      </c>
    </row>
    <row r="283" spans="17:25" ht="14" thickBot="1" x14ac:dyDescent="0.2">
      <c r="Y283" s="245" t="s">
        <v>85</v>
      </c>
    </row>
    <row r="284" spans="17:25" ht="17" thickBot="1" x14ac:dyDescent="0.25">
      <c r="R284" s="126" t="s">
        <v>48</v>
      </c>
      <c r="S284" s="127">
        <v>13</v>
      </c>
      <c r="T284" s="154" t="s">
        <v>66</v>
      </c>
      <c r="U284" s="143">
        <f>U266-($C$34*U266)</f>
        <v>813.29245643339641</v>
      </c>
      <c r="V284" s="155" t="s">
        <v>68</v>
      </c>
      <c r="W284" s="185">
        <f>ROUND($C$22/12,15)</f>
        <v>5.8333333333329997E-3</v>
      </c>
      <c r="X284" s="261">
        <f>IF(X299="",0,Y267/POWER($C$34+1,1)/POWER($E$41+1,S284))</f>
        <v>6626.5890720634825</v>
      </c>
      <c r="Y284" s="246">
        <f>U284*12</f>
        <v>9759.5094772007578</v>
      </c>
    </row>
    <row r="285" spans="17:25" x14ac:dyDescent="0.15">
      <c r="U285" s="183" t="s">
        <v>76</v>
      </c>
      <c r="V285" s="166">
        <f>IF(S284&lt;=$C$29,$C$26,IF(AND(S284&gt;$C$29,$B$32="Yes"),AVERAGE(U287:U298),$D$32))</f>
        <v>0.16</v>
      </c>
      <c r="Y285" s="250">
        <f>IF(X284&gt;0,($D$12)/POWER($C$34+1,S284),0)</f>
        <v>9731.3694575149384</v>
      </c>
    </row>
    <row r="286" spans="17:25" x14ac:dyDescent="0.15">
      <c r="R286" s="122" t="s">
        <v>70</v>
      </c>
      <c r="S286" s="124">
        <f>$C$24</f>
        <v>0.9</v>
      </c>
      <c r="T286" s="125">
        <f>100%-$S$88</f>
        <v>9.9999999999999978E-2</v>
      </c>
      <c r="U286" s="112" t="s">
        <v>72</v>
      </c>
      <c r="V286" s="115" t="s">
        <v>71</v>
      </c>
      <c r="W286" s="115" t="s">
        <v>67</v>
      </c>
      <c r="X286" s="116" t="s">
        <v>69</v>
      </c>
    </row>
    <row r="287" spans="17:25" x14ac:dyDescent="0.15">
      <c r="Q287">
        <f>Q280+1</f>
        <v>144</v>
      </c>
      <c r="R287" s="166">
        <v>1</v>
      </c>
      <c r="S287" s="1">
        <f>$U$284*$C$24</f>
        <v>731.96321079005679</v>
      </c>
      <c r="T287" s="167">
        <f>$U$284*(100%-$C$24)</f>
        <v>81.329245643339618</v>
      </c>
      <c r="U287" s="168">
        <f>ROUND(U280*(1+$W$284),60)</f>
        <v>0.78030375955600395</v>
      </c>
      <c r="V287" s="169">
        <f>S287*$V$285</f>
        <v>117.11411372640909</v>
      </c>
      <c r="W287" s="186">
        <f t="shared" ref="W287:W298" si="68">T287*U287</f>
        <v>63.461516137351659</v>
      </c>
      <c r="X287" s="170">
        <f t="shared" ref="X287:X298" si="69">W287+V287</f>
        <v>180.57562986376075</v>
      </c>
    </row>
    <row r="288" spans="17:25" x14ac:dyDescent="0.15">
      <c r="Q288">
        <f>Q287+1</f>
        <v>145</v>
      </c>
      <c r="R288" s="166">
        <v>2</v>
      </c>
      <c r="S288" s="1">
        <f>$U$284*$C$24</f>
        <v>731.96321079005679</v>
      </c>
      <c r="T288" s="167">
        <f>$U$284*(100%-$C$24)</f>
        <v>81.329245643339618</v>
      </c>
      <c r="U288" s="168">
        <f>ROUND(U287*(1+$W$284),60)</f>
        <v>0.78485553148674703</v>
      </c>
      <c r="V288" s="169">
        <f t="shared" ref="V288:V298" si="70">S288*$V$285</f>
        <v>117.11411372640909</v>
      </c>
      <c r="W288" s="186">
        <f t="shared" si="68"/>
        <v>63.831708314819522</v>
      </c>
      <c r="X288" s="170">
        <f t="shared" si="69"/>
        <v>180.94582204122861</v>
      </c>
    </row>
    <row r="289" spans="17:25" x14ac:dyDescent="0.15">
      <c r="Q289">
        <f t="shared" ref="Q289:Q298" si="71">Q288+1</f>
        <v>146</v>
      </c>
      <c r="R289" s="166">
        <v>3</v>
      </c>
      <c r="S289" s="1">
        <f>$U$284*$C$24</f>
        <v>731.96321079005679</v>
      </c>
      <c r="T289" s="167">
        <f>$U$284*(100%-$C$24)</f>
        <v>81.329245643339618</v>
      </c>
      <c r="U289" s="168">
        <f t="shared" ref="U289:U298" si="72">ROUND(U288*(1+$W$284),60)</f>
        <v>0.789433855420419</v>
      </c>
      <c r="V289" s="169">
        <f t="shared" si="70"/>
        <v>117.11411372640909</v>
      </c>
      <c r="W289" s="186">
        <f t="shared" si="68"/>
        <v>64.204059946655903</v>
      </c>
      <c r="X289" s="170">
        <f t="shared" si="69"/>
        <v>181.31817367306499</v>
      </c>
    </row>
    <row r="290" spans="17:25" x14ac:dyDescent="0.15">
      <c r="Q290">
        <f t="shared" si="71"/>
        <v>147</v>
      </c>
      <c r="R290" s="166">
        <v>4</v>
      </c>
      <c r="S290" s="1">
        <f>$U$284*$C$24</f>
        <v>731.96321079005679</v>
      </c>
      <c r="T290" s="167">
        <f>$U$284*(100%-$C$24)</f>
        <v>81.329245643339618</v>
      </c>
      <c r="U290" s="168">
        <f t="shared" si="72"/>
        <v>0.794038886243704</v>
      </c>
      <c r="V290" s="169">
        <f t="shared" si="70"/>
        <v>117.11411372640909</v>
      </c>
      <c r="W290" s="186">
        <f t="shared" si="68"/>
        <v>64.578583629678008</v>
      </c>
      <c r="X290" s="170">
        <f t="shared" si="69"/>
        <v>181.69269735608708</v>
      </c>
    </row>
    <row r="291" spans="17:25" x14ac:dyDescent="0.15">
      <c r="Q291">
        <f t="shared" si="71"/>
        <v>148</v>
      </c>
      <c r="R291" s="166">
        <v>5</v>
      </c>
      <c r="S291" s="1">
        <f>$U$284*$C$24</f>
        <v>731.96321079005679</v>
      </c>
      <c r="T291" s="167">
        <f>$U$284*(100%-$C$24)</f>
        <v>81.329245643339618</v>
      </c>
      <c r="U291" s="168">
        <f t="shared" si="72"/>
        <v>0.79867077974679201</v>
      </c>
      <c r="V291" s="169">
        <f t="shared" si="70"/>
        <v>117.11411372640909</v>
      </c>
      <c r="W291" s="186">
        <f t="shared" si="68"/>
        <v>64.955292034184438</v>
      </c>
      <c r="X291" s="170">
        <f t="shared" si="69"/>
        <v>182.06940576059353</v>
      </c>
    </row>
    <row r="292" spans="17:25" x14ac:dyDescent="0.15">
      <c r="Q292">
        <f t="shared" si="71"/>
        <v>149</v>
      </c>
      <c r="R292" s="166">
        <v>6</v>
      </c>
      <c r="S292" s="1">
        <f>$U$284*$C$24</f>
        <v>731.96321079005679</v>
      </c>
      <c r="T292" s="167">
        <f>$U$284*(100%-$C$24)</f>
        <v>81.329245643339618</v>
      </c>
      <c r="U292" s="168">
        <f t="shared" si="72"/>
        <v>0.80332969262864795</v>
      </c>
      <c r="V292" s="169">
        <f t="shared" si="70"/>
        <v>117.11411372640909</v>
      </c>
      <c r="W292" s="186">
        <f t="shared" si="68"/>
        <v>65.334197904383828</v>
      </c>
      <c r="X292" s="170">
        <f t="shared" si="69"/>
        <v>182.44831163079292</v>
      </c>
    </row>
    <row r="293" spans="17:25" x14ac:dyDescent="0.15">
      <c r="Q293">
        <f t="shared" si="71"/>
        <v>150</v>
      </c>
      <c r="R293" s="166">
        <v>7</v>
      </c>
      <c r="S293" s="1">
        <f>$U$284*$C$24</f>
        <v>731.96321079005679</v>
      </c>
      <c r="T293" s="167">
        <f>$U$284*(100%-$C$24)</f>
        <v>81.329245643339618</v>
      </c>
      <c r="U293" s="168">
        <f t="shared" si="72"/>
        <v>0.80801578250231498</v>
      </c>
      <c r="V293" s="169">
        <f t="shared" si="70"/>
        <v>117.11411372640909</v>
      </c>
      <c r="W293" s="186">
        <f t="shared" si="68"/>
        <v>65.715314058826053</v>
      </c>
      <c r="X293" s="170">
        <f t="shared" si="69"/>
        <v>182.82942778523514</v>
      </c>
    </row>
    <row r="294" spans="17:25" x14ac:dyDescent="0.15">
      <c r="Q294">
        <f t="shared" si="71"/>
        <v>151</v>
      </c>
      <c r="R294" s="166">
        <v>8</v>
      </c>
      <c r="S294" s="1">
        <f>$U$284*$C$24</f>
        <v>731.96321079005679</v>
      </c>
      <c r="T294" s="167">
        <f>$U$284*(100%-$C$24)</f>
        <v>81.329245643339618</v>
      </c>
      <c r="U294" s="168">
        <f t="shared" si="72"/>
        <v>0.81272920790024505</v>
      </c>
      <c r="V294" s="169">
        <f t="shared" si="70"/>
        <v>117.11411372640909</v>
      </c>
      <c r="W294" s="186">
        <f t="shared" si="68"/>
        <v>66.098653390835864</v>
      </c>
      <c r="X294" s="170">
        <f t="shared" si="69"/>
        <v>183.21276711724494</v>
      </c>
    </row>
    <row r="295" spans="17:25" x14ac:dyDescent="0.15">
      <c r="Q295">
        <f t="shared" si="71"/>
        <v>152</v>
      </c>
      <c r="R295" s="166">
        <v>9</v>
      </c>
      <c r="S295" s="1">
        <f>$U$284*$C$24</f>
        <v>731.96321079005679</v>
      </c>
      <c r="T295" s="167">
        <f>$U$284*(100%-$C$24)</f>
        <v>81.329245643339618</v>
      </c>
      <c r="U295" s="168">
        <f t="shared" si="72"/>
        <v>0.81747012827966303</v>
      </c>
      <c r="V295" s="169">
        <f t="shared" si="70"/>
        <v>117.11411372640909</v>
      </c>
      <c r="W295" s="186">
        <f t="shared" si="68"/>
        <v>66.48422886894906</v>
      </c>
      <c r="X295" s="170">
        <f t="shared" si="69"/>
        <v>183.59834259535813</v>
      </c>
    </row>
    <row r="296" spans="17:25" x14ac:dyDescent="0.15">
      <c r="Q296">
        <f t="shared" si="71"/>
        <v>153</v>
      </c>
      <c r="R296" s="166">
        <v>10</v>
      </c>
      <c r="S296" s="1">
        <f>$U$284*$C$24</f>
        <v>731.96321079005679</v>
      </c>
      <c r="T296" s="167">
        <f>$U$284*(100%-$C$24)</f>
        <v>81.329245643339618</v>
      </c>
      <c r="U296" s="168">
        <f t="shared" si="72"/>
        <v>0.82223870402796095</v>
      </c>
      <c r="V296" s="169">
        <f t="shared" si="70"/>
        <v>117.11411372640909</v>
      </c>
      <c r="W296" s="186">
        <f t="shared" si="68"/>
        <v>66.872053537351263</v>
      </c>
      <c r="X296" s="170">
        <f t="shared" si="69"/>
        <v>183.98616726376036</v>
      </c>
    </row>
    <row r="297" spans="17:25" x14ac:dyDescent="0.15">
      <c r="Q297">
        <f t="shared" si="71"/>
        <v>154</v>
      </c>
      <c r="R297" s="166">
        <v>11</v>
      </c>
      <c r="S297" s="1">
        <f>$U$284*$C$24</f>
        <v>731.96321079005679</v>
      </c>
      <c r="T297" s="167">
        <f>$U$284*(100%-$C$24)</f>
        <v>81.329245643339618</v>
      </c>
      <c r="U297" s="168">
        <f t="shared" si="72"/>
        <v>0.82703509646812401</v>
      </c>
      <c r="V297" s="169">
        <f t="shared" si="70"/>
        <v>117.11411372640909</v>
      </c>
      <c r="W297" s="186">
        <f t="shared" si="68"/>
        <v>67.262140516319135</v>
      </c>
      <c r="X297" s="170">
        <f t="shared" si="69"/>
        <v>184.37625424272824</v>
      </c>
    </row>
    <row r="298" spans="17:25" x14ac:dyDescent="0.15">
      <c r="Q298">
        <f t="shared" si="71"/>
        <v>155</v>
      </c>
      <c r="R298" s="166">
        <v>12</v>
      </c>
      <c r="S298" s="1">
        <f>$U$284*$C$24</f>
        <v>731.96321079005679</v>
      </c>
      <c r="T298" s="167">
        <f>$U$284*(100%-$C$24)</f>
        <v>81.329245643339618</v>
      </c>
      <c r="U298" s="168">
        <f t="shared" si="72"/>
        <v>0.83185946786418796</v>
      </c>
      <c r="V298" s="169">
        <f t="shared" si="70"/>
        <v>117.11411372640909</v>
      </c>
      <c r="W298" s="186">
        <f t="shared" si="68"/>
        <v>67.654503002664327</v>
      </c>
      <c r="X298" s="170">
        <f t="shared" si="69"/>
        <v>184.76861672907341</v>
      </c>
    </row>
    <row r="299" spans="17:25" ht="16" x14ac:dyDescent="0.3">
      <c r="S299" s="118">
        <f>IF($C$17&gt;=S284,SUM(S287:S298),"")</f>
        <v>8783.5585294806824</v>
      </c>
      <c r="T299" s="119">
        <f>IF($C$17&gt;=S284,SUM(T287:T298),"")</f>
        <v>975.95094772007542</v>
      </c>
      <c r="U299" s="108">
        <f>IF(Y300="",0,AVERAGE(U287:U298))</f>
        <v>0.80583174101040089</v>
      </c>
      <c r="V299" s="120">
        <f>IF($C$17&gt;=S284,SUM(V287:V298),"")</f>
        <v>1405.3693647169093</v>
      </c>
      <c r="W299" s="121">
        <f>IF($C$17&gt;=S284,SUM(W287:W298),"")</f>
        <v>786.45225134201905</v>
      </c>
      <c r="X299" s="121">
        <f>IF($C$17&gt;=S284,SUM(X287:X298),"")</f>
        <v>2191.8216160589282</v>
      </c>
    </row>
    <row r="300" spans="17:25" x14ac:dyDescent="0.15">
      <c r="W300" s="222" t="s">
        <v>53</v>
      </c>
      <c r="X300" s="117">
        <f>IF(AND($D$36="Yes",$D$38+1=S284,$C$17&gt;=S284),$B$38,0)</f>
        <v>0</v>
      </c>
      <c r="Y300" s="142">
        <f>IF(X299="",0,IF(AND($C$41="No",$D$36="No"),X299,IF(AND($C$41="Yes",$D$36="Yes"),(X299-X300)-($D$9+$B$38)*$E$41,IF(AND($C$41="Yes",$D$36="No"),X299-($D$9*$E$41),IF(AND($C$41="No",$D$36="Yes"),X299-X300,X299)))))</f>
        <v>2191.8216160589282</v>
      </c>
    </row>
    <row r="301" spans="17:25" ht="14" thickBot="1" x14ac:dyDescent="0.2">
      <c r="Y301" s="245" t="s">
        <v>85</v>
      </c>
    </row>
    <row r="302" spans="17:25" ht="17" thickBot="1" x14ac:dyDescent="0.25">
      <c r="R302" s="126" t="s">
        <v>48</v>
      </c>
      <c r="S302" s="127">
        <v>14</v>
      </c>
      <c r="T302" s="154" t="s">
        <v>66</v>
      </c>
      <c r="U302" s="143">
        <f>U284-($C$34*U284)</f>
        <v>810.85257906409618</v>
      </c>
      <c r="V302" s="155" t="s">
        <v>68</v>
      </c>
      <c r="W302" s="185">
        <f>ROUND($C$22/12,15)</f>
        <v>5.8333333333329997E-3</v>
      </c>
      <c r="X302" s="261">
        <f>IF(X317="",0,Y285/POWER($C$34+1,1)/POWER($E$41+1,S302))</f>
        <v>6414.3386075399849</v>
      </c>
      <c r="Y302" s="246">
        <f>U302*12</f>
        <v>9730.2309487691546</v>
      </c>
    </row>
    <row r="303" spans="17:25" x14ac:dyDescent="0.15">
      <c r="U303" s="183" t="s">
        <v>76</v>
      </c>
      <c r="V303" s="166">
        <f>IF(S302&lt;=$C$29,$C$26,IF(AND(S302&gt;$C$29,$B$32="Yes"),AVERAGE(U305:U316),$D$32))</f>
        <v>0.16</v>
      </c>
      <c r="Y303" s="250">
        <f>IF(X302&gt;0,($D$12)/POWER($C$34+1,S302),0)</f>
        <v>9702.2626695064209</v>
      </c>
    </row>
    <row r="304" spans="17:25" x14ac:dyDescent="0.15">
      <c r="R304" s="122" t="s">
        <v>70</v>
      </c>
      <c r="S304" s="124">
        <f>$C$24</f>
        <v>0.9</v>
      </c>
      <c r="T304" s="125">
        <f>100%-$S$88</f>
        <v>9.9999999999999978E-2</v>
      </c>
      <c r="U304" s="112" t="s">
        <v>72</v>
      </c>
      <c r="V304" s="115" t="s">
        <v>71</v>
      </c>
      <c r="W304" s="115" t="s">
        <v>67</v>
      </c>
      <c r="X304" s="116" t="s">
        <v>69</v>
      </c>
    </row>
    <row r="305" spans="17:25" x14ac:dyDescent="0.15">
      <c r="Q305">
        <f>Q298+1</f>
        <v>156</v>
      </c>
      <c r="R305" s="166">
        <v>1</v>
      </c>
      <c r="S305" s="1">
        <f>$U$302*$C$24</f>
        <v>729.76732115768652</v>
      </c>
      <c r="T305" s="167">
        <f>$U$302*(100%-$C$24)</f>
        <v>81.085257906409595</v>
      </c>
      <c r="U305" s="168">
        <f>ROUND(U298*(1+$W$302),60)</f>
        <v>0.83671198142672898</v>
      </c>
      <c r="V305" s="169">
        <f>S305*$V$303</f>
        <v>116.76277138522984</v>
      </c>
      <c r="W305" s="186">
        <f t="shared" ref="W305:W316" si="73">T305*U305</f>
        <v>67.845006807369316</v>
      </c>
      <c r="X305" s="170">
        <f t="shared" ref="X305:X316" si="74">W305+V305</f>
        <v>184.60777819259914</v>
      </c>
    </row>
    <row r="306" spans="17:25" x14ac:dyDescent="0.15">
      <c r="Q306">
        <f>Q305+1</f>
        <v>157</v>
      </c>
      <c r="R306" s="166">
        <v>2</v>
      </c>
      <c r="S306" s="1">
        <f>$U$302*$C$24</f>
        <v>729.76732115768652</v>
      </c>
      <c r="T306" s="167">
        <f>$U$302*(100%-$C$24)</f>
        <v>81.085257906409595</v>
      </c>
      <c r="U306" s="168">
        <f>ROUND(U305*(1+$W$302),60)</f>
        <v>0.84159280131838499</v>
      </c>
      <c r="V306" s="169">
        <f t="shared" ref="V306:V316" si="75">S306*$V$303</f>
        <v>116.76277138522984</v>
      </c>
      <c r="W306" s="186">
        <f t="shared" si="73"/>
        <v>68.240769347078981</v>
      </c>
      <c r="X306" s="170">
        <f t="shared" si="74"/>
        <v>185.00354073230881</v>
      </c>
    </row>
    <row r="307" spans="17:25" x14ac:dyDescent="0.15">
      <c r="Q307">
        <f t="shared" ref="Q307:Q316" si="76">Q306+1</f>
        <v>158</v>
      </c>
      <c r="R307" s="166">
        <v>3</v>
      </c>
      <c r="S307" s="1">
        <f>$U$302*$C$24</f>
        <v>729.76732115768652</v>
      </c>
      <c r="T307" s="167">
        <f>$U$302*(100%-$C$24)</f>
        <v>81.085257906409595</v>
      </c>
      <c r="U307" s="168">
        <f t="shared" ref="U307:U316" si="77">ROUND(U306*(1+$W$302),60)</f>
        <v>0.84650209265940901</v>
      </c>
      <c r="V307" s="169">
        <f t="shared" si="75"/>
        <v>116.76277138522984</v>
      </c>
      <c r="W307" s="186">
        <f t="shared" si="73"/>
        <v>68.63884050160361</v>
      </c>
      <c r="X307" s="170">
        <f t="shared" si="74"/>
        <v>185.40161188683345</v>
      </c>
    </row>
    <row r="308" spans="17:25" x14ac:dyDescent="0.15">
      <c r="Q308">
        <f t="shared" si="76"/>
        <v>159</v>
      </c>
      <c r="R308" s="166">
        <v>4</v>
      </c>
      <c r="S308" s="1">
        <f>$U$302*$C$24</f>
        <v>729.76732115768652</v>
      </c>
      <c r="T308" s="167">
        <f>$U$302*(100%-$C$24)</f>
        <v>81.085257906409595</v>
      </c>
      <c r="U308" s="168">
        <f t="shared" si="77"/>
        <v>0.85144002153325504</v>
      </c>
      <c r="V308" s="169">
        <f t="shared" si="75"/>
        <v>116.76277138522984</v>
      </c>
      <c r="W308" s="186">
        <f t="shared" si="73"/>
        <v>69.039233737862929</v>
      </c>
      <c r="X308" s="170">
        <f t="shared" si="74"/>
        <v>185.80200512309278</v>
      </c>
    </row>
    <row r="309" spans="17:25" x14ac:dyDescent="0.15">
      <c r="Q309">
        <f t="shared" si="76"/>
        <v>160</v>
      </c>
      <c r="R309" s="166">
        <v>5</v>
      </c>
      <c r="S309" s="1">
        <f>$U$302*$C$24</f>
        <v>729.76732115768652</v>
      </c>
      <c r="T309" s="167">
        <f>$U$302*(100%-$C$24)</f>
        <v>81.085257906409595</v>
      </c>
      <c r="U309" s="168">
        <f t="shared" si="77"/>
        <v>0.85640675499219898</v>
      </c>
      <c r="V309" s="169">
        <f t="shared" si="75"/>
        <v>116.76277138522984</v>
      </c>
      <c r="W309" s="186">
        <f t="shared" si="73"/>
        <v>69.441962601333785</v>
      </c>
      <c r="X309" s="170">
        <f t="shared" si="74"/>
        <v>186.20473398656361</v>
      </c>
    </row>
    <row r="310" spans="17:25" x14ac:dyDescent="0.15">
      <c r="Q310">
        <f t="shared" si="76"/>
        <v>161</v>
      </c>
      <c r="R310" s="166">
        <v>6</v>
      </c>
      <c r="S310" s="1">
        <f>$U$302*$C$24</f>
        <v>729.76732115768652</v>
      </c>
      <c r="T310" s="167">
        <f>$U$302*(100%-$C$24)</f>
        <v>81.085257906409595</v>
      </c>
      <c r="U310" s="168">
        <f t="shared" si="77"/>
        <v>0.86140246106298601</v>
      </c>
      <c r="V310" s="169">
        <f t="shared" si="75"/>
        <v>116.76277138522984</v>
      </c>
      <c r="W310" s="186">
        <f t="shared" si="73"/>
        <v>69.847040716508175</v>
      </c>
      <c r="X310" s="170">
        <f t="shared" si="74"/>
        <v>186.60981210173802</v>
      </c>
    </row>
    <row r="311" spans="17:25" x14ac:dyDescent="0.15">
      <c r="Q311">
        <f t="shared" si="76"/>
        <v>162</v>
      </c>
      <c r="R311" s="166">
        <v>7</v>
      </c>
      <c r="S311" s="1">
        <f>$U$302*$C$24</f>
        <v>729.76732115768652</v>
      </c>
      <c r="T311" s="167">
        <f>$U$302*(100%-$C$24)</f>
        <v>81.085257906409595</v>
      </c>
      <c r="U311" s="168">
        <f t="shared" si="77"/>
        <v>0.86642730875252005</v>
      </c>
      <c r="V311" s="169">
        <f t="shared" si="75"/>
        <v>116.76277138522984</v>
      </c>
      <c r="W311" s="186">
        <f t="shared" si="73"/>
        <v>70.254481787354464</v>
      </c>
      <c r="X311" s="170">
        <f t="shared" si="74"/>
        <v>187.0172531725843</v>
      </c>
    </row>
    <row r="312" spans="17:25" x14ac:dyDescent="0.15">
      <c r="Q312">
        <f t="shared" si="76"/>
        <v>163</v>
      </c>
      <c r="R312" s="166">
        <v>8</v>
      </c>
      <c r="S312" s="1">
        <f>$U$302*$C$24</f>
        <v>729.76732115768652</v>
      </c>
      <c r="T312" s="167">
        <f>$U$302*(100%-$C$24)</f>
        <v>81.085257906409595</v>
      </c>
      <c r="U312" s="168">
        <f t="shared" si="77"/>
        <v>0.87148146805357596</v>
      </c>
      <c r="V312" s="169">
        <f t="shared" si="75"/>
        <v>116.76277138522984</v>
      </c>
      <c r="W312" s="186">
        <f t="shared" si="73"/>
        <v>70.664299597780655</v>
      </c>
      <c r="X312" s="170">
        <f t="shared" si="74"/>
        <v>187.42707098301048</v>
      </c>
    </row>
    <row r="313" spans="17:25" x14ac:dyDescent="0.15">
      <c r="Q313">
        <f t="shared" si="76"/>
        <v>164</v>
      </c>
      <c r="R313" s="166">
        <v>9</v>
      </c>
      <c r="S313" s="1">
        <f>$U$302*$C$24</f>
        <v>729.76732115768652</v>
      </c>
      <c r="T313" s="167">
        <f>$U$302*(100%-$C$24)</f>
        <v>81.085257906409595</v>
      </c>
      <c r="U313" s="168">
        <f t="shared" si="77"/>
        <v>0.87656510995055503</v>
      </c>
      <c r="V313" s="169">
        <f t="shared" si="75"/>
        <v>116.76277138522984</v>
      </c>
      <c r="W313" s="186">
        <f t="shared" si="73"/>
        <v>71.076508012101044</v>
      </c>
      <c r="X313" s="170">
        <f t="shared" si="74"/>
        <v>187.83927939733087</v>
      </c>
    </row>
    <row r="314" spans="17:25" x14ac:dyDescent="0.15">
      <c r="Q314">
        <f t="shared" si="76"/>
        <v>165</v>
      </c>
      <c r="R314" s="166">
        <v>10</v>
      </c>
      <c r="S314" s="1">
        <f>$U$302*$C$24</f>
        <v>729.76732115768652</v>
      </c>
      <c r="T314" s="167">
        <f>$U$302*(100%-$C$24)</f>
        <v>81.085257906409595</v>
      </c>
      <c r="U314" s="168">
        <f t="shared" si="77"/>
        <v>0.88167840642526596</v>
      </c>
      <c r="V314" s="169">
        <f t="shared" si="75"/>
        <v>116.76277138522984</v>
      </c>
      <c r="W314" s="186">
        <f t="shared" si="73"/>
        <v>71.491120975504913</v>
      </c>
      <c r="X314" s="170">
        <f t="shared" si="74"/>
        <v>188.25389236073477</v>
      </c>
    </row>
    <row r="315" spans="17:25" x14ac:dyDescent="0.15">
      <c r="Q315">
        <f t="shared" si="76"/>
        <v>166</v>
      </c>
      <c r="R315" s="166">
        <v>11</v>
      </c>
      <c r="S315" s="1">
        <f>$U$302*$C$24</f>
        <v>729.76732115768652</v>
      </c>
      <c r="T315" s="167">
        <f>$U$302*(100%-$C$24)</f>
        <v>81.085257906409595</v>
      </c>
      <c r="U315" s="168">
        <f t="shared" si="77"/>
        <v>0.88682153046274603</v>
      </c>
      <c r="V315" s="169">
        <f t="shared" si="75"/>
        <v>116.76277138522984</v>
      </c>
      <c r="W315" s="186">
        <f t="shared" si="73"/>
        <v>71.908152514528638</v>
      </c>
      <c r="X315" s="170">
        <f t="shared" si="74"/>
        <v>188.67092389975846</v>
      </c>
    </row>
    <row r="316" spans="17:25" x14ac:dyDescent="0.15">
      <c r="Q316">
        <f t="shared" si="76"/>
        <v>167</v>
      </c>
      <c r="R316" s="166">
        <v>12</v>
      </c>
      <c r="S316" s="1">
        <f>$U$302*$C$24</f>
        <v>729.76732115768652</v>
      </c>
      <c r="T316" s="167">
        <f>$U$302*(100%-$C$24)</f>
        <v>81.085257906409595</v>
      </c>
      <c r="U316" s="168">
        <f t="shared" si="77"/>
        <v>0.89199465605711203</v>
      </c>
      <c r="V316" s="169">
        <f t="shared" si="75"/>
        <v>116.76277138522984</v>
      </c>
      <c r="W316" s="186">
        <f t="shared" si="73"/>
        <v>72.32761673753005</v>
      </c>
      <c r="X316" s="170">
        <f t="shared" si="74"/>
        <v>189.09038812275989</v>
      </c>
    </row>
    <row r="317" spans="17:25" ht="16" x14ac:dyDescent="0.3">
      <c r="S317" s="118">
        <f>IF($C$17&gt;=S302,SUM(S305:S316),"")</f>
        <v>8757.2078538922378</v>
      </c>
      <c r="T317" s="119">
        <f>IF($C$17&gt;=S302,SUM(T305:T316),"")</f>
        <v>973.02309487691537</v>
      </c>
      <c r="U317" s="108">
        <f>IF(Y318="",0,AVERAGE(U305:U316))</f>
        <v>0.86408538272456126</v>
      </c>
      <c r="V317" s="120">
        <f>IF($C$17&gt;=S302,SUM(V305:V316),"")</f>
        <v>1401.1532566227581</v>
      </c>
      <c r="W317" s="121">
        <f>IF($C$17&gt;=S302,SUM(W305:W316),"")</f>
        <v>840.77503333655659</v>
      </c>
      <c r="X317" s="121">
        <f>IF($C$17&gt;=S302,SUM(X305:X316),"")</f>
        <v>2241.928289959315</v>
      </c>
    </row>
    <row r="318" spans="17:25" x14ac:dyDescent="0.15">
      <c r="R318" s="111"/>
      <c r="W318" s="222" t="s">
        <v>53</v>
      </c>
      <c r="X318" s="117">
        <f>IF(AND($D$36="Yes",$D$38+1=S302,$C$17&gt;=S302),$B$38,0)</f>
        <v>0</v>
      </c>
      <c r="Y318" s="142">
        <f>IF(X317="",0,IF(AND($C$41="No",$D$36="No"),X317,IF(AND($C$41="Yes",$D$36="Yes"),(X317-X318)-($D$9+$B$38)*$E$41,IF(AND($C$41="Yes",$D$36="No"),X317-($D$9*$E$41),IF(AND($C$41="No",$D$36="Yes"),X317-X318,X317)))))</f>
        <v>2241.928289959315</v>
      </c>
    </row>
    <row r="319" spans="17:25" ht="14" thickBot="1" x14ac:dyDescent="0.2">
      <c r="Y319" s="245" t="s">
        <v>85</v>
      </c>
    </row>
    <row r="320" spans="17:25" ht="17" thickBot="1" x14ac:dyDescent="0.25">
      <c r="R320" s="126" t="s">
        <v>48</v>
      </c>
      <c r="S320" s="127">
        <v>15</v>
      </c>
      <c r="T320" s="154" t="s">
        <v>66</v>
      </c>
      <c r="U320" s="143">
        <f>U302-($C$34*U302)</f>
        <v>808.42002132690391</v>
      </c>
      <c r="V320" s="155" t="s">
        <v>68</v>
      </c>
      <c r="W320" s="185">
        <f>ROUND($C$22/12,15)</f>
        <v>5.8333333333329997E-3</v>
      </c>
      <c r="X320" s="261">
        <f>IF(X335="",0,Y303/POWER($C$34+1,1)/POWER($E$41+1,S320))</f>
        <v>6208.8865515492216</v>
      </c>
      <c r="Y320" s="246">
        <f>U320*12</f>
        <v>9701.040255922846</v>
      </c>
    </row>
    <row r="321" spans="17:25" x14ac:dyDescent="0.15">
      <c r="U321" s="183" t="s">
        <v>76</v>
      </c>
      <c r="V321" s="166">
        <f>IF(S320&lt;=$C$29,$C$26,IF(AND(S320&gt;$C$29,$B$32="Yes"),AVERAGE(U323:U334),$D$32))</f>
        <v>0.16</v>
      </c>
      <c r="Y321" s="250">
        <f>IF(X320&gt;0,($D$12)/POWER($C$34+1,S320),0)</f>
        <v>9673.2429406843694</v>
      </c>
    </row>
    <row r="322" spans="17:25" x14ac:dyDescent="0.15">
      <c r="R322" s="122" t="s">
        <v>70</v>
      </c>
      <c r="S322" s="124">
        <f>$C$24</f>
        <v>0.9</v>
      </c>
      <c r="T322" s="125">
        <f>100%-$S$88</f>
        <v>9.9999999999999978E-2</v>
      </c>
      <c r="U322" s="112" t="s">
        <v>72</v>
      </c>
      <c r="V322" s="115" t="s">
        <v>71</v>
      </c>
      <c r="W322" s="115" t="s">
        <v>67</v>
      </c>
      <c r="X322" s="116" t="s">
        <v>69</v>
      </c>
    </row>
    <row r="323" spans="17:25" x14ac:dyDescent="0.15">
      <c r="Q323">
        <f>Q316+1</f>
        <v>168</v>
      </c>
      <c r="R323" s="166">
        <v>1</v>
      </c>
      <c r="S323" s="1">
        <f>$U$320*$C$24</f>
        <v>727.57801919421354</v>
      </c>
      <c r="T323" s="167">
        <f>$U$320*(100%-$C$24)</f>
        <v>80.842002132690368</v>
      </c>
      <c r="U323" s="168">
        <f>ROUND(U316*(1+$W$320),60)</f>
        <v>0.89719795821744497</v>
      </c>
      <c r="V323" s="169">
        <f>S323*$V$321</f>
        <v>116.41248307107416</v>
      </c>
      <c r="W323" s="186">
        <f t="shared" ref="W323:W334" si="78">T323*U323</f>
        <v>72.531279251660123</v>
      </c>
      <c r="X323" s="170">
        <f t="shared" ref="X323:X334" si="79">W323+V323</f>
        <v>188.9437623227343</v>
      </c>
    </row>
    <row r="324" spans="17:25" x14ac:dyDescent="0.15">
      <c r="Q324">
        <f>Q323+1</f>
        <v>169</v>
      </c>
      <c r="R324" s="166">
        <v>2</v>
      </c>
      <c r="S324" s="1">
        <f>$U$320*$C$24</f>
        <v>727.57801919421354</v>
      </c>
      <c r="T324" s="167">
        <f>$U$320*(100%-$C$24)</f>
        <v>80.842002132690368</v>
      </c>
      <c r="U324" s="168">
        <f>ROUND(U323*(1+$W$320),60)</f>
        <v>0.90243161297371299</v>
      </c>
      <c r="V324" s="169">
        <f t="shared" ref="V324:V334" si="80">S324*$V$321</f>
        <v>116.41248307107416</v>
      </c>
      <c r="W324" s="186">
        <f t="shared" si="78"/>
        <v>72.954378380628114</v>
      </c>
      <c r="X324" s="170">
        <f t="shared" si="79"/>
        <v>189.36686145170228</v>
      </c>
    </row>
    <row r="325" spans="17:25" x14ac:dyDescent="0.15">
      <c r="Q325">
        <f t="shared" ref="Q325:Q334" si="81">Q324+1</f>
        <v>170</v>
      </c>
      <c r="R325" s="166">
        <v>3</v>
      </c>
      <c r="S325" s="1">
        <f>$U$320*$C$24</f>
        <v>727.57801919421354</v>
      </c>
      <c r="T325" s="167">
        <f>$U$320*(100%-$C$24)</f>
        <v>80.842002132690368</v>
      </c>
      <c r="U325" s="168">
        <f t="shared" ref="U325:U334" si="82">ROUND(U324*(1+$W$320),60)</f>
        <v>0.90769579738272599</v>
      </c>
      <c r="V325" s="169">
        <f t="shared" si="80"/>
        <v>116.41248307107416</v>
      </c>
      <c r="W325" s="186">
        <f t="shared" si="78"/>
        <v>73.379945587848425</v>
      </c>
      <c r="X325" s="170">
        <f t="shared" si="79"/>
        <v>189.79242865892257</v>
      </c>
    </row>
    <row r="326" spans="17:25" x14ac:dyDescent="0.15">
      <c r="Q326">
        <f t="shared" si="81"/>
        <v>171</v>
      </c>
      <c r="R326" s="166">
        <v>4</v>
      </c>
      <c r="S326" s="1">
        <f>$U$320*$C$24</f>
        <v>727.57801919421354</v>
      </c>
      <c r="T326" s="167">
        <f>$U$320*(100%-$C$24)</f>
        <v>80.842002132690368</v>
      </c>
      <c r="U326" s="168">
        <f t="shared" si="82"/>
        <v>0.91299068953412499</v>
      </c>
      <c r="V326" s="169">
        <f t="shared" si="80"/>
        <v>116.41248307107416</v>
      </c>
      <c r="W326" s="186">
        <f t="shared" si="78"/>
        <v>73.807995270444181</v>
      </c>
      <c r="X326" s="170">
        <f t="shared" si="79"/>
        <v>190.22047834151834</v>
      </c>
    </row>
    <row r="327" spans="17:25" x14ac:dyDescent="0.15">
      <c r="Q327">
        <f t="shared" si="81"/>
        <v>172</v>
      </c>
      <c r="R327" s="166">
        <v>5</v>
      </c>
      <c r="S327" s="1">
        <f>$U$320*$C$24</f>
        <v>727.57801919421354</v>
      </c>
      <c r="T327" s="167">
        <f>$U$320*(100%-$C$24)</f>
        <v>80.842002132690368</v>
      </c>
      <c r="U327" s="168">
        <f t="shared" si="82"/>
        <v>0.91831646855640703</v>
      </c>
      <c r="V327" s="169">
        <f t="shared" si="80"/>
        <v>116.41248307107416</v>
      </c>
      <c r="W327" s="186">
        <f t="shared" si="78"/>
        <v>74.238541909521743</v>
      </c>
      <c r="X327" s="170">
        <f t="shared" si="79"/>
        <v>190.65102498059591</v>
      </c>
    </row>
    <row r="328" spans="17:25" x14ac:dyDescent="0.15">
      <c r="Q328">
        <f t="shared" si="81"/>
        <v>173</v>
      </c>
      <c r="R328" s="166">
        <v>6</v>
      </c>
      <c r="S328" s="1">
        <f>$U$320*$C$24</f>
        <v>727.57801919421354</v>
      </c>
      <c r="T328" s="167">
        <f>$U$320*(100%-$C$24)</f>
        <v>80.842002132690368</v>
      </c>
      <c r="U328" s="168">
        <f t="shared" si="82"/>
        <v>0.92367331462298596</v>
      </c>
      <c r="V328" s="169">
        <f t="shared" si="80"/>
        <v>116.41248307107416</v>
      </c>
      <c r="W328" s="186">
        <f t="shared" si="78"/>
        <v>74.671600070660617</v>
      </c>
      <c r="X328" s="170">
        <f t="shared" si="79"/>
        <v>191.08408314173477</v>
      </c>
    </row>
    <row r="329" spans="17:25" x14ac:dyDescent="0.15">
      <c r="Q329">
        <f t="shared" si="81"/>
        <v>174</v>
      </c>
      <c r="R329" s="166">
        <v>7</v>
      </c>
      <c r="S329" s="1">
        <f>$U$320*$C$24</f>
        <v>727.57801919421354</v>
      </c>
      <c r="T329" s="167">
        <f>$U$320*(100%-$C$24)</f>
        <v>80.842002132690368</v>
      </c>
      <c r="U329" s="168">
        <f t="shared" si="82"/>
        <v>0.92906140895828604</v>
      </c>
      <c r="V329" s="169">
        <f t="shared" si="80"/>
        <v>116.41248307107416</v>
      </c>
      <c r="W329" s="186">
        <f t="shared" si="78"/>
        <v>75.107184404406084</v>
      </c>
      <c r="X329" s="170">
        <f t="shared" si="79"/>
        <v>191.51966747548025</v>
      </c>
    </row>
    <row r="330" spans="17:25" x14ac:dyDescent="0.15">
      <c r="Q330">
        <f t="shared" si="81"/>
        <v>175</v>
      </c>
      <c r="R330" s="166">
        <v>8</v>
      </c>
      <c r="S330" s="1">
        <f>$U$320*$C$24</f>
        <v>727.57801919421354</v>
      </c>
      <c r="T330" s="167">
        <f>$U$320*(100%-$C$24)</f>
        <v>80.842002132690368</v>
      </c>
      <c r="U330" s="168">
        <f t="shared" si="82"/>
        <v>0.93448093384387598</v>
      </c>
      <c r="V330" s="169">
        <f t="shared" si="80"/>
        <v>116.41248307107416</v>
      </c>
      <c r="W330" s="186">
        <f t="shared" si="78"/>
        <v>75.545309646765105</v>
      </c>
      <c r="X330" s="170">
        <f t="shared" si="79"/>
        <v>191.95779271783925</v>
      </c>
    </row>
    <row r="331" spans="17:25" x14ac:dyDescent="0.15">
      <c r="Q331">
        <f t="shared" si="81"/>
        <v>176</v>
      </c>
      <c r="R331" s="166">
        <v>9</v>
      </c>
      <c r="S331" s="1">
        <f>$U$320*$C$24</f>
        <v>727.57801919421354</v>
      </c>
      <c r="T331" s="167">
        <f>$U$320*(100%-$C$24)</f>
        <v>80.842002132690368</v>
      </c>
      <c r="U331" s="168">
        <f t="shared" si="82"/>
        <v>0.93993207262463196</v>
      </c>
      <c r="V331" s="169">
        <f t="shared" si="80"/>
        <v>116.41248307107416</v>
      </c>
      <c r="W331" s="186">
        <f t="shared" si="78"/>
        <v>75.98599061970458</v>
      </c>
      <c r="X331" s="170">
        <f t="shared" si="79"/>
        <v>192.39847369077876</v>
      </c>
    </row>
    <row r="332" spans="17:25" x14ac:dyDescent="0.15">
      <c r="Q332">
        <f t="shared" si="81"/>
        <v>177</v>
      </c>
      <c r="R332" s="166">
        <v>10</v>
      </c>
      <c r="S332" s="1">
        <f>$U$320*$C$24</f>
        <v>727.57801919421354</v>
      </c>
      <c r="T332" s="167">
        <f>$U$320*(100%-$C$24)</f>
        <v>80.842002132690368</v>
      </c>
      <c r="U332" s="168">
        <f t="shared" si="82"/>
        <v>0.94541500971494197</v>
      </c>
      <c r="V332" s="169">
        <f t="shared" si="80"/>
        <v>116.41248307107416</v>
      </c>
      <c r="W332" s="186">
        <f t="shared" si="78"/>
        <v>76.429242231652822</v>
      </c>
      <c r="X332" s="170">
        <f t="shared" si="79"/>
        <v>192.84172530272699</v>
      </c>
    </row>
    <row r="333" spans="17:25" x14ac:dyDescent="0.15">
      <c r="Q333">
        <f t="shared" si="81"/>
        <v>178</v>
      </c>
      <c r="R333" s="166">
        <v>11</v>
      </c>
      <c r="S333" s="1">
        <f>$U$320*$C$24</f>
        <v>727.57801919421354</v>
      </c>
      <c r="T333" s="167">
        <f>$U$320*(100%-$C$24)</f>
        <v>80.842002132690368</v>
      </c>
      <c r="U333" s="168">
        <f t="shared" si="82"/>
        <v>0.95092993060494502</v>
      </c>
      <c r="V333" s="169">
        <f t="shared" si="80"/>
        <v>116.41248307107416</v>
      </c>
      <c r="W333" s="186">
        <f t="shared" si="78"/>
        <v>76.875079478004068</v>
      </c>
      <c r="X333" s="170">
        <f t="shared" si="79"/>
        <v>193.28756254907825</v>
      </c>
    </row>
    <row r="334" spans="17:25" x14ac:dyDescent="0.15">
      <c r="Q334">
        <f t="shared" si="81"/>
        <v>179</v>
      </c>
      <c r="R334" s="166">
        <v>12</v>
      </c>
      <c r="S334" s="1">
        <f>$U$320*$C$24</f>
        <v>727.57801919421354</v>
      </c>
      <c r="T334" s="167">
        <f>$U$320*(100%-$C$24)</f>
        <v>80.842002132690368</v>
      </c>
      <c r="U334" s="168">
        <f t="shared" si="82"/>
        <v>0.95647702186680705</v>
      </c>
      <c r="V334" s="169">
        <f t="shared" si="80"/>
        <v>116.41248307107416</v>
      </c>
      <c r="W334" s="186">
        <f t="shared" si="78"/>
        <v>77.323517441625754</v>
      </c>
      <c r="X334" s="170">
        <f t="shared" si="79"/>
        <v>193.73600051269992</v>
      </c>
    </row>
    <row r="335" spans="17:25" ht="16" x14ac:dyDescent="0.3">
      <c r="S335" s="118">
        <f>IF($C$17&gt;=S320,SUM(S323:S334),"")</f>
        <v>8730.9362303305643</v>
      </c>
      <c r="T335" s="119">
        <f>IF($C$17&gt;=S320,SUM(T323:T334),"")</f>
        <v>970.10402559228442</v>
      </c>
      <c r="U335" s="108">
        <f>IF(Y336="",0,AVERAGE(U323:U334))</f>
        <v>0.92655018490840746</v>
      </c>
      <c r="V335" s="120">
        <f>IF($C$17&gt;=S320,SUM(V323:V334),"")</f>
        <v>1396.9497968528897</v>
      </c>
      <c r="W335" s="121">
        <f>IF($C$17&gt;=S320,SUM(W323:W334),"")</f>
        <v>898.85006429292162</v>
      </c>
      <c r="X335" s="121">
        <f>IF($C$17&gt;=S320,SUM(X323:X334),"")</f>
        <v>2295.7998611458115</v>
      </c>
    </row>
    <row r="336" spans="17:25" x14ac:dyDescent="0.15">
      <c r="W336" s="222" t="s">
        <v>53</v>
      </c>
      <c r="X336" s="117">
        <f>IF(AND($D$36="Yes",$D$38+1=S320,$C$17&gt;=S320),$B$38,0)</f>
        <v>0</v>
      </c>
      <c r="Y336" s="142">
        <f>IF(X335="",0,IF(AND($C$41="No",$D$36="No"),X335,IF(AND($C$41="Yes",$D$36="Yes"),(X335-X336)-($D$9+$B$38)*$E$41,IF(AND($C$41="Yes",$D$36="No"),X335-($D$9*$E$41),IF(AND($C$41="No",$D$36="Yes"),X335-X336,X335)))))</f>
        <v>2295.7998611458115</v>
      </c>
    </row>
    <row r="337" spans="17:25" ht="14" thickBot="1" x14ac:dyDescent="0.2">
      <c r="Y337" s="245" t="s">
        <v>85</v>
      </c>
    </row>
    <row r="338" spans="17:25" ht="17" thickBot="1" x14ac:dyDescent="0.25">
      <c r="R338" s="126" t="s">
        <v>48</v>
      </c>
      <c r="S338" s="127">
        <v>16</v>
      </c>
      <c r="T338" s="154" t="s">
        <v>66</v>
      </c>
      <c r="U338" s="143">
        <f>U320-($C$34*U320)</f>
        <v>805.99476126292325</v>
      </c>
      <c r="V338" s="155" t="s">
        <v>68</v>
      </c>
      <c r="W338" s="185">
        <f>ROUND($C$22/12,15)</f>
        <v>5.8333333333329997E-3</v>
      </c>
      <c r="X338" s="261">
        <f>IF(X353="",0,Y321/POWER($C$34+1,1)/POWER($E$41+1,S338))</f>
        <v>6010.0151502281724</v>
      </c>
      <c r="Y338" s="246">
        <f>U338*12</f>
        <v>9671.9371351550799</v>
      </c>
    </row>
    <row r="339" spans="17:25" x14ac:dyDescent="0.15">
      <c r="U339" s="183" t="s">
        <v>76</v>
      </c>
      <c r="V339" s="166">
        <f>IF(S338&lt;=$C$29,$C$26,IF(AND(S338&gt;$C$29,$B$32="Yes"),AVERAGE(U341:U352),$D$32))</f>
        <v>0.16</v>
      </c>
      <c r="Y339" s="250">
        <f>IF(X338&gt;0,($D$12)/POWER($C$34+1,S338),0)</f>
        <v>9644.3100106524125</v>
      </c>
    </row>
    <row r="340" spans="17:25" x14ac:dyDescent="0.15">
      <c r="R340" s="122" t="s">
        <v>70</v>
      </c>
      <c r="S340" s="124">
        <f>$C$24</f>
        <v>0.9</v>
      </c>
      <c r="T340" s="125">
        <f>100%-$S$88</f>
        <v>9.9999999999999978E-2</v>
      </c>
      <c r="U340" s="112" t="s">
        <v>72</v>
      </c>
      <c r="V340" s="115" t="s">
        <v>71</v>
      </c>
      <c r="W340" s="115" t="s">
        <v>67</v>
      </c>
      <c r="X340" s="116" t="s">
        <v>69</v>
      </c>
    </row>
    <row r="341" spans="17:25" x14ac:dyDescent="0.15">
      <c r="Q341">
        <f>Q334+1</f>
        <v>180</v>
      </c>
      <c r="R341" s="166">
        <v>1</v>
      </c>
      <c r="S341" s="1">
        <f>$U$338*$C$24</f>
        <v>725.39528513663095</v>
      </c>
      <c r="T341" s="167">
        <f>$U$338*(100%-$C$24)</f>
        <v>80.599476126292302</v>
      </c>
      <c r="U341" s="168">
        <f>ROUND(U334*(1+$W$338),60)</f>
        <v>0.96205647116102999</v>
      </c>
      <c r="V341" s="169">
        <f>S341*$V$339</f>
        <v>116.06324562186096</v>
      </c>
      <c r="W341" s="186">
        <f t="shared" ref="W341:W352" si="83">T341*U341</f>
        <v>77.541247579488456</v>
      </c>
      <c r="X341" s="170">
        <f t="shared" ref="X341:X352" si="84">W341+V341</f>
        <v>193.60449320134941</v>
      </c>
    </row>
    <row r="342" spans="17:25" x14ac:dyDescent="0.15">
      <c r="Q342">
        <f>Q341+1</f>
        <v>181</v>
      </c>
      <c r="R342" s="166">
        <v>2</v>
      </c>
      <c r="S342" s="1">
        <f>$U$338*$C$24</f>
        <v>725.39528513663095</v>
      </c>
      <c r="T342" s="167">
        <f>$U$338*(100%-$C$24)</f>
        <v>80.599476126292302</v>
      </c>
      <c r="U342" s="168">
        <f>ROUND(U341*(1+$W$338),60)</f>
        <v>0.96766846724280198</v>
      </c>
      <c r="V342" s="169">
        <f t="shared" ref="V342:V352" si="85">S342*$V$339</f>
        <v>116.06324562186096</v>
      </c>
      <c r="W342" s="186">
        <f t="shared" si="83"/>
        <v>77.993571523702087</v>
      </c>
      <c r="X342" s="170">
        <f t="shared" si="84"/>
        <v>194.05681714556306</v>
      </c>
    </row>
    <row r="343" spans="17:25" x14ac:dyDescent="0.15">
      <c r="Q343">
        <f t="shared" ref="Q343:Q352" si="86">Q342+1</f>
        <v>182</v>
      </c>
      <c r="R343" s="166">
        <v>3</v>
      </c>
      <c r="S343" s="1">
        <f>$U$338*$C$24</f>
        <v>725.39528513663095</v>
      </c>
      <c r="T343" s="167">
        <f>$U$338*(100%-$C$24)</f>
        <v>80.599476126292302</v>
      </c>
      <c r="U343" s="168">
        <f t="shared" ref="U343:U352" si="87">ROUND(U342*(1+$W$338),60)</f>
        <v>0.97331319996838495</v>
      </c>
      <c r="V343" s="169">
        <f t="shared" si="85"/>
        <v>116.06324562186096</v>
      </c>
      <c r="W343" s="186">
        <f t="shared" si="83"/>
        <v>78.448534024257015</v>
      </c>
      <c r="X343" s="170">
        <f t="shared" si="84"/>
        <v>194.51177964611799</v>
      </c>
    </row>
    <row r="344" spans="17:25" x14ac:dyDescent="0.15">
      <c r="Q344">
        <f t="shared" si="86"/>
        <v>183</v>
      </c>
      <c r="R344" s="166">
        <v>4</v>
      </c>
      <c r="S344" s="1">
        <f>$U$338*$C$24</f>
        <v>725.39528513663095</v>
      </c>
      <c r="T344" s="167">
        <f>$U$338*(100%-$C$24)</f>
        <v>80.599476126292302</v>
      </c>
      <c r="U344" s="168">
        <f t="shared" si="87"/>
        <v>0.97899086030153304</v>
      </c>
      <c r="V344" s="169">
        <f t="shared" si="85"/>
        <v>116.06324562186096</v>
      </c>
      <c r="W344" s="186">
        <f t="shared" si="83"/>
        <v>78.906150472731781</v>
      </c>
      <c r="X344" s="170">
        <f t="shared" si="84"/>
        <v>194.96939609459275</v>
      </c>
    </row>
    <row r="345" spans="17:25" x14ac:dyDescent="0.15">
      <c r="Q345">
        <f t="shared" si="86"/>
        <v>184</v>
      </c>
      <c r="R345" s="166">
        <v>5</v>
      </c>
      <c r="S345" s="1">
        <f>$U$338*$C$24</f>
        <v>725.39528513663095</v>
      </c>
      <c r="T345" s="167">
        <f>$U$338*(100%-$C$24)</f>
        <v>80.599476126292302</v>
      </c>
      <c r="U345" s="168">
        <f t="shared" si="87"/>
        <v>0.98470164031995799</v>
      </c>
      <c r="V345" s="169">
        <f t="shared" si="85"/>
        <v>116.06324562186096</v>
      </c>
      <c r="W345" s="186">
        <f t="shared" si="83"/>
        <v>79.366436350489323</v>
      </c>
      <c r="X345" s="170">
        <f t="shared" si="84"/>
        <v>195.42968197235029</v>
      </c>
    </row>
    <row r="346" spans="17:25" x14ac:dyDescent="0.15">
      <c r="Q346">
        <f t="shared" si="86"/>
        <v>185</v>
      </c>
      <c r="R346" s="166">
        <v>6</v>
      </c>
      <c r="S346" s="1">
        <f>$U$338*$C$24</f>
        <v>725.39528513663095</v>
      </c>
      <c r="T346" s="167">
        <f>$U$338*(100%-$C$24)</f>
        <v>80.599476126292302</v>
      </c>
      <c r="U346" s="168">
        <f t="shared" si="87"/>
        <v>0.99044573322182405</v>
      </c>
      <c r="V346" s="169">
        <f t="shared" si="85"/>
        <v>116.06324562186096</v>
      </c>
      <c r="W346" s="186">
        <f t="shared" si="83"/>
        <v>79.829407229200484</v>
      </c>
      <c r="X346" s="170">
        <f t="shared" si="84"/>
        <v>195.89265285106143</v>
      </c>
    </row>
    <row r="347" spans="17:25" x14ac:dyDescent="0.15">
      <c r="Q347">
        <f t="shared" si="86"/>
        <v>186</v>
      </c>
      <c r="R347" s="166">
        <v>7</v>
      </c>
      <c r="S347" s="1">
        <f>$U$338*$C$24</f>
        <v>725.39528513663095</v>
      </c>
      <c r="T347" s="167">
        <f>$U$338*(100%-$C$24)</f>
        <v>80.599476126292302</v>
      </c>
      <c r="U347" s="168">
        <f t="shared" si="87"/>
        <v>0.99622333333228397</v>
      </c>
      <c r="V347" s="169">
        <f t="shared" si="85"/>
        <v>116.06324562186096</v>
      </c>
      <c r="W347" s="186">
        <f t="shared" si="83"/>
        <v>80.295078771370754</v>
      </c>
      <c r="X347" s="170">
        <f t="shared" si="84"/>
        <v>196.35832439323173</v>
      </c>
    </row>
    <row r="348" spans="17:25" x14ac:dyDescent="0.15">
      <c r="Q348">
        <f t="shared" si="86"/>
        <v>187</v>
      </c>
      <c r="R348" s="166">
        <v>8</v>
      </c>
      <c r="S348" s="1">
        <f>$U$338*$C$24</f>
        <v>725.39528513663095</v>
      </c>
      <c r="T348" s="167">
        <f>$U$338*(100%-$C$24)</f>
        <v>80.599476126292302</v>
      </c>
      <c r="U348" s="168">
        <f t="shared" si="87"/>
        <v>1.0020346361100601</v>
      </c>
      <c r="V348" s="169">
        <f t="shared" si="85"/>
        <v>116.06324562186096</v>
      </c>
      <c r="W348" s="186">
        <f t="shared" si="83"/>
        <v>80.763466730870775</v>
      </c>
      <c r="X348" s="170">
        <f t="shared" si="84"/>
        <v>196.82671235273173</v>
      </c>
    </row>
    <row r="349" spans="17:25" x14ac:dyDescent="0.15">
      <c r="Q349">
        <f t="shared" si="86"/>
        <v>188</v>
      </c>
      <c r="R349" s="166">
        <v>9</v>
      </c>
      <c r="S349" s="1">
        <f>$U$338*$C$24</f>
        <v>725.39528513663095</v>
      </c>
      <c r="T349" s="167">
        <f>$U$338*(100%-$C$24)</f>
        <v>80.599476126292302</v>
      </c>
      <c r="U349" s="168">
        <f t="shared" si="87"/>
        <v>1.0078798381540399</v>
      </c>
      <c r="V349" s="169">
        <f t="shared" si="85"/>
        <v>116.06324562186096</v>
      </c>
      <c r="W349" s="186">
        <f t="shared" si="83"/>
        <v>81.234586953467897</v>
      </c>
      <c r="X349" s="170">
        <f t="shared" si="84"/>
        <v>197.29783257532887</v>
      </c>
    </row>
    <row r="350" spans="17:25" x14ac:dyDescent="0.15">
      <c r="Q350">
        <f t="shared" si="86"/>
        <v>189</v>
      </c>
      <c r="R350" s="166">
        <v>10</v>
      </c>
      <c r="S350" s="1">
        <f>$U$338*$C$24</f>
        <v>725.39528513663095</v>
      </c>
      <c r="T350" s="167">
        <f>$U$338*(100%-$C$24)</f>
        <v>80.599476126292302</v>
      </c>
      <c r="U350" s="168">
        <f t="shared" si="87"/>
        <v>1.0137591372099399</v>
      </c>
      <c r="V350" s="169">
        <f t="shared" si="85"/>
        <v>116.06324562186096</v>
      </c>
      <c r="W350" s="186">
        <f t="shared" si="83"/>
        <v>81.708455377363236</v>
      </c>
      <c r="X350" s="170">
        <f t="shared" si="84"/>
        <v>197.77170099922421</v>
      </c>
    </row>
    <row r="351" spans="17:25" x14ac:dyDescent="0.15">
      <c r="Q351">
        <f t="shared" si="86"/>
        <v>190</v>
      </c>
      <c r="R351" s="166">
        <v>11</v>
      </c>
      <c r="S351" s="1">
        <f>$U$338*$C$24</f>
        <v>725.39528513663095</v>
      </c>
      <c r="T351" s="167">
        <f>$U$338*(100%-$C$24)</f>
        <v>80.599476126292302</v>
      </c>
      <c r="U351" s="168">
        <f t="shared" si="87"/>
        <v>1.0196727321770001</v>
      </c>
      <c r="V351" s="169">
        <f t="shared" si="85"/>
        <v>116.06324562186096</v>
      </c>
      <c r="W351" s="186">
        <f t="shared" si="83"/>
        <v>82.185088033731361</v>
      </c>
      <c r="X351" s="170">
        <f t="shared" si="84"/>
        <v>198.24833365559232</v>
      </c>
    </row>
    <row r="352" spans="17:25" x14ac:dyDescent="0.15">
      <c r="Q352">
        <f t="shared" si="86"/>
        <v>191</v>
      </c>
      <c r="R352" s="166">
        <v>12</v>
      </c>
      <c r="S352" s="1">
        <f>$U$338*$C$24</f>
        <v>725.39528513663095</v>
      </c>
      <c r="T352" s="167">
        <f>$U$338*(100%-$C$24)</f>
        <v>80.599476126292302</v>
      </c>
      <c r="U352" s="168">
        <f t="shared" si="87"/>
        <v>1.0256208231146999</v>
      </c>
      <c r="V352" s="169">
        <f t="shared" si="85"/>
        <v>116.06324562186096</v>
      </c>
      <c r="W352" s="186">
        <f t="shared" si="83"/>
        <v>82.664501047261524</v>
      </c>
      <c r="X352" s="170">
        <f t="shared" si="84"/>
        <v>198.7277466691225</v>
      </c>
    </row>
    <row r="353" spans="17:25" ht="16" x14ac:dyDescent="0.3">
      <c r="S353" s="118">
        <f>IF($C$17&gt;=S338,SUM(S341:S352),"")</f>
        <v>8704.7434216395723</v>
      </c>
      <c r="T353" s="119">
        <f>IF($C$17&gt;=S338,SUM(T341:T352),"")</f>
        <v>967.19371351550762</v>
      </c>
      <c r="U353" s="108">
        <f>IF(Y354="",0,AVERAGE(U341:U352))</f>
        <v>0.99353057269279621</v>
      </c>
      <c r="V353" s="120">
        <f>IF($C$17&gt;=S338,SUM(V341:V352),"")</f>
        <v>1392.7589474623312</v>
      </c>
      <c r="W353" s="121">
        <f>IF($C$17&gt;=S338,SUM(W341:W352),"")</f>
        <v>960.93652409393462</v>
      </c>
      <c r="X353" s="121">
        <f>IF($C$17&gt;=S338,SUM(X341:X352),"")</f>
        <v>2353.6954715562665</v>
      </c>
    </row>
    <row r="354" spans="17:25" x14ac:dyDescent="0.15">
      <c r="W354" s="222" t="s">
        <v>53</v>
      </c>
      <c r="X354" s="117">
        <f>IF(AND($D$36="Yes",$D$38+1=S338,$C$17&gt;=S338),$B$38,0)</f>
        <v>800</v>
      </c>
      <c r="Y354" s="142">
        <f>IF(X353="",0,IF(AND($C$41="No",$D$36="No"),X353,IF(AND($C$41="Yes",$D$36="Yes"),(X353-X354)-($D$9+$B$38)*$E$41,IF(AND($C$41="Yes",$D$36="No"),X353-($D$9*$E$41),IF(AND($C$41="No",$D$36="Yes"),X353-X354,X353)))))</f>
        <v>1553.6954715562665</v>
      </c>
    </row>
    <row r="355" spans="17:25" ht="14" thickBot="1" x14ac:dyDescent="0.2">
      <c r="Y355" s="245" t="s">
        <v>85</v>
      </c>
    </row>
    <row r="356" spans="17:25" ht="17" thickBot="1" x14ac:dyDescent="0.25">
      <c r="R356" s="126" t="s">
        <v>48</v>
      </c>
      <c r="S356" s="127">
        <v>17</v>
      </c>
      <c r="T356" s="154" t="s">
        <v>66</v>
      </c>
      <c r="U356" s="143">
        <f>U338-($C$34*U338)</f>
        <v>803.57677697913448</v>
      </c>
      <c r="V356" s="155" t="s">
        <v>68</v>
      </c>
      <c r="W356" s="185">
        <f>ROUND($C$22/12,15)</f>
        <v>5.8333333333329997E-3</v>
      </c>
      <c r="X356" s="261">
        <f>IF(X371="",0,Y339/POWER($C$34+1,1)/POWER($E$41+1,S356))</f>
        <v>5817.51362439688</v>
      </c>
      <c r="Y356" s="246">
        <f>U356*12</f>
        <v>9642.9213237496133</v>
      </c>
    </row>
    <row r="357" spans="17:25" x14ac:dyDescent="0.15">
      <c r="U357" s="183" t="s">
        <v>76</v>
      </c>
      <c r="V357" s="166">
        <f>IF(S356&lt;=$C$29,$C$26,IF(AND(S356&gt;$C$29,$B$32="Yes"),AVERAGE(U359:U370),$D$32))</f>
        <v>0.16</v>
      </c>
      <c r="Y357" s="250">
        <f>IF(X356&gt;0,($D$12)/POWER($C$34+1,S356),0)</f>
        <v>9615.463619793034</v>
      </c>
    </row>
    <row r="358" spans="17:25" x14ac:dyDescent="0.15">
      <c r="R358" s="122" t="s">
        <v>70</v>
      </c>
      <c r="S358" s="124">
        <f>$C$24</f>
        <v>0.9</v>
      </c>
      <c r="T358" s="125">
        <f>100%-$S$88</f>
        <v>9.9999999999999978E-2</v>
      </c>
      <c r="U358" s="112" t="s">
        <v>72</v>
      </c>
      <c r="V358" s="115" t="s">
        <v>71</v>
      </c>
      <c r="W358" s="115" t="s">
        <v>67</v>
      </c>
      <c r="X358" s="116" t="s">
        <v>69</v>
      </c>
    </row>
    <row r="359" spans="17:25" x14ac:dyDescent="0.15">
      <c r="Q359">
        <f>Q352+1</f>
        <v>192</v>
      </c>
      <c r="R359" s="166">
        <v>1</v>
      </c>
      <c r="S359" s="1">
        <f>$U$356*$C$24</f>
        <v>723.21909928122102</v>
      </c>
      <c r="T359" s="167">
        <f>$U$356*(100%-$C$24)</f>
        <v>80.357677697913431</v>
      </c>
      <c r="U359" s="168">
        <f>ROUND(U352*(1+$W$356),60)</f>
        <v>1.0316036112495399</v>
      </c>
      <c r="V359" s="169">
        <f>S359*$V$357</f>
        <v>115.71505588499537</v>
      </c>
      <c r="W359" s="186">
        <f t="shared" ref="W359:W370" si="88">T359*U359</f>
        <v>82.897270504794108</v>
      </c>
      <c r="X359" s="170">
        <f t="shared" ref="X359:X370" si="89">W359+V359</f>
        <v>198.61232638978947</v>
      </c>
    </row>
    <row r="360" spans="17:25" x14ac:dyDescent="0.15">
      <c r="Q360">
        <f>Q359+1</f>
        <v>193</v>
      </c>
      <c r="R360" s="166">
        <v>2</v>
      </c>
      <c r="S360" s="1">
        <f>$U$356*$C$24</f>
        <v>723.21909928122102</v>
      </c>
      <c r="T360" s="167">
        <f>$U$356*(100%-$C$24)</f>
        <v>80.357677697913431</v>
      </c>
      <c r="U360" s="168">
        <f>ROUND(U359*(1+$W$356),60)</f>
        <v>1.0376212989818301</v>
      </c>
      <c r="V360" s="169">
        <f t="shared" ref="V360:V370" si="90">S360*$V$357</f>
        <v>115.71505588499537</v>
      </c>
      <c r="W360" s="186">
        <f t="shared" si="88"/>
        <v>83.380837916072167</v>
      </c>
      <c r="X360" s="170">
        <f t="shared" si="89"/>
        <v>199.09589380106752</v>
      </c>
    </row>
    <row r="361" spans="17:25" x14ac:dyDescent="0.15">
      <c r="Q361">
        <f t="shared" ref="Q361:Q370" si="91">Q360+1</f>
        <v>194</v>
      </c>
      <c r="R361" s="166">
        <v>3</v>
      </c>
      <c r="S361" s="1">
        <f>$U$356*$C$24</f>
        <v>723.21909928122102</v>
      </c>
      <c r="T361" s="167">
        <f>$U$356*(100%-$C$24)</f>
        <v>80.357677697913431</v>
      </c>
      <c r="U361" s="168">
        <f t="shared" ref="U361:U370" si="92">ROUND(U360*(1+$W$356),60)</f>
        <v>1.0436740898925601</v>
      </c>
      <c r="V361" s="169">
        <f t="shared" si="90"/>
        <v>115.71505588499537</v>
      </c>
      <c r="W361" s="186">
        <f t="shared" si="88"/>
        <v>83.867226137249475</v>
      </c>
      <c r="X361" s="170">
        <f t="shared" si="89"/>
        <v>199.58228202224484</v>
      </c>
    </row>
    <row r="362" spans="17:25" x14ac:dyDescent="0.15">
      <c r="Q362">
        <f t="shared" si="91"/>
        <v>195</v>
      </c>
      <c r="R362" s="166">
        <v>4</v>
      </c>
      <c r="S362" s="1">
        <f>$U$356*$C$24</f>
        <v>723.21909928122102</v>
      </c>
      <c r="T362" s="167">
        <f>$U$356*(100%-$C$24)</f>
        <v>80.357677697913431</v>
      </c>
      <c r="U362" s="168">
        <f t="shared" si="92"/>
        <v>1.0497621887502699</v>
      </c>
      <c r="V362" s="169">
        <f t="shared" si="90"/>
        <v>115.71505588499537</v>
      </c>
      <c r="W362" s="186">
        <f t="shared" si="88"/>
        <v>84.356451623050361</v>
      </c>
      <c r="X362" s="170">
        <f t="shared" si="89"/>
        <v>200.07150750804573</v>
      </c>
    </row>
    <row r="363" spans="17:25" x14ac:dyDescent="0.15">
      <c r="Q363">
        <f t="shared" si="91"/>
        <v>196</v>
      </c>
      <c r="R363" s="166">
        <v>5</v>
      </c>
      <c r="S363" s="1">
        <f>$U$356*$C$24</f>
        <v>723.21909928122102</v>
      </c>
      <c r="T363" s="167">
        <f>$U$356*(100%-$C$24)</f>
        <v>80.357677697913431</v>
      </c>
      <c r="U363" s="168">
        <f t="shared" si="92"/>
        <v>1.0558858015179799</v>
      </c>
      <c r="V363" s="169">
        <f t="shared" si="90"/>
        <v>115.71505588499537</v>
      </c>
      <c r="W363" s="186">
        <f t="shared" si="88"/>
        <v>84.848530924184828</v>
      </c>
      <c r="X363" s="170">
        <f t="shared" si="89"/>
        <v>200.56358680918021</v>
      </c>
    </row>
    <row r="364" spans="17:25" x14ac:dyDescent="0.15">
      <c r="Q364">
        <f t="shared" si="91"/>
        <v>197</v>
      </c>
      <c r="R364" s="166">
        <v>6</v>
      </c>
      <c r="S364" s="1">
        <f>$U$356*$C$24</f>
        <v>723.21909928122102</v>
      </c>
      <c r="T364" s="167">
        <f>$U$356*(100%-$C$24)</f>
        <v>80.357677697913431</v>
      </c>
      <c r="U364" s="168">
        <f t="shared" si="92"/>
        <v>1.0620451353601701</v>
      </c>
      <c r="V364" s="169">
        <f t="shared" si="90"/>
        <v>115.71505588499537</v>
      </c>
      <c r="W364" s="186">
        <f t="shared" si="88"/>
        <v>85.343480687909391</v>
      </c>
      <c r="X364" s="170">
        <f t="shared" si="89"/>
        <v>201.05853657290476</v>
      </c>
    </row>
    <row r="365" spans="17:25" x14ac:dyDescent="0.15">
      <c r="Q365">
        <f t="shared" si="91"/>
        <v>198</v>
      </c>
      <c r="R365" s="166">
        <v>7</v>
      </c>
      <c r="S365" s="1">
        <f>$U$356*$C$24</f>
        <v>723.21909928122102</v>
      </c>
      <c r="T365" s="167">
        <f>$U$356*(100%-$C$24)</f>
        <v>80.357677697913431</v>
      </c>
      <c r="U365" s="168">
        <f t="shared" si="92"/>
        <v>1.0682403986497699</v>
      </c>
      <c r="V365" s="169">
        <f t="shared" si="90"/>
        <v>115.71505588499537</v>
      </c>
      <c r="W365" s="186">
        <f t="shared" si="88"/>
        <v>85.841317658588764</v>
      </c>
      <c r="X365" s="170">
        <f t="shared" si="89"/>
        <v>201.55637354358413</v>
      </c>
    </row>
    <row r="366" spans="17:25" x14ac:dyDescent="0.15">
      <c r="Q366">
        <f t="shared" si="91"/>
        <v>199</v>
      </c>
      <c r="R366" s="166">
        <v>8</v>
      </c>
      <c r="S366" s="1">
        <f>$U$356*$C$24</f>
        <v>723.21909928122102</v>
      </c>
      <c r="T366" s="167">
        <f>$U$356*(100%-$C$24)</f>
        <v>80.357677697913431</v>
      </c>
      <c r="U366" s="168">
        <f t="shared" si="92"/>
        <v>1.0744718009752301</v>
      </c>
      <c r="V366" s="169">
        <f t="shared" si="90"/>
        <v>115.71505588499537</v>
      </c>
      <c r="W366" s="186">
        <f t="shared" si="88"/>
        <v>86.342058678264124</v>
      </c>
      <c r="X366" s="170">
        <f t="shared" si="89"/>
        <v>202.05711456325949</v>
      </c>
    </row>
    <row r="367" spans="17:25" x14ac:dyDescent="0.15">
      <c r="Q367">
        <f t="shared" si="91"/>
        <v>200</v>
      </c>
      <c r="R367" s="166">
        <v>9</v>
      </c>
      <c r="S367" s="1">
        <f>$U$356*$C$24</f>
        <v>723.21909928122102</v>
      </c>
      <c r="T367" s="167">
        <f>$U$356*(100%-$C$24)</f>
        <v>80.357677697913431</v>
      </c>
      <c r="U367" s="168">
        <f t="shared" si="92"/>
        <v>1.0807395531475901</v>
      </c>
      <c r="V367" s="169">
        <f t="shared" si="90"/>
        <v>115.71505588499537</v>
      </c>
      <c r="W367" s="186">
        <f t="shared" si="88"/>
        <v>86.845720687221032</v>
      </c>
      <c r="X367" s="170">
        <f t="shared" si="89"/>
        <v>202.56077657221641</v>
      </c>
    </row>
    <row r="368" spans="17:25" x14ac:dyDescent="0.15">
      <c r="Q368">
        <f t="shared" si="91"/>
        <v>201</v>
      </c>
      <c r="R368" s="166">
        <v>10</v>
      </c>
      <c r="S368" s="1">
        <f>$U$356*$C$24</f>
        <v>723.21909928122102</v>
      </c>
      <c r="T368" s="167">
        <f>$U$356*(100%-$C$24)</f>
        <v>80.357677697913431</v>
      </c>
      <c r="U368" s="168">
        <f t="shared" si="92"/>
        <v>1.0870438672076199</v>
      </c>
      <c r="V368" s="169">
        <f t="shared" si="90"/>
        <v>115.71505588499537</v>
      </c>
      <c r="W368" s="186">
        <f t="shared" si="88"/>
        <v>87.352320724563327</v>
      </c>
      <c r="X368" s="170">
        <f t="shared" si="89"/>
        <v>203.06737660955869</v>
      </c>
    </row>
    <row r="369" spans="17:25" x14ac:dyDescent="0.15">
      <c r="Q369">
        <f t="shared" si="91"/>
        <v>202</v>
      </c>
      <c r="R369" s="166">
        <v>11</v>
      </c>
      <c r="S369" s="1">
        <f>$U$356*$C$24</f>
        <v>723.21909928122102</v>
      </c>
      <c r="T369" s="167">
        <f>$U$356*(100%-$C$24)</f>
        <v>80.357677697913431</v>
      </c>
      <c r="U369" s="168">
        <f t="shared" si="92"/>
        <v>1.093384956433</v>
      </c>
      <c r="V369" s="169">
        <f t="shared" si="90"/>
        <v>115.71505588499537</v>
      </c>
      <c r="W369" s="186">
        <f t="shared" si="88"/>
        <v>87.861875928790141</v>
      </c>
      <c r="X369" s="170">
        <f t="shared" si="89"/>
        <v>203.57693181378551</v>
      </c>
    </row>
    <row r="370" spans="17:25" x14ac:dyDescent="0.15">
      <c r="Q370">
        <f t="shared" si="91"/>
        <v>203</v>
      </c>
      <c r="R370" s="166">
        <v>12</v>
      </c>
      <c r="S370" s="1">
        <f>$U$356*$C$24</f>
        <v>723.21909928122102</v>
      </c>
      <c r="T370" s="167">
        <f>$U$356*(100%-$C$24)</f>
        <v>80.357677697913431</v>
      </c>
      <c r="U370" s="168">
        <f t="shared" si="92"/>
        <v>1.0997630353455301</v>
      </c>
      <c r="V370" s="169">
        <f t="shared" si="90"/>
        <v>115.71505588499537</v>
      </c>
      <c r="W370" s="186">
        <f t="shared" si="88"/>
        <v>88.374403538375091</v>
      </c>
      <c r="X370" s="170">
        <f t="shared" si="89"/>
        <v>204.08945942337044</v>
      </c>
    </row>
    <row r="371" spans="17:25" ht="16" x14ac:dyDescent="0.3">
      <c r="S371" s="118">
        <f>IF($C$17&gt;=S356,SUM(S359:S370),"")</f>
        <v>8678.6291913746518</v>
      </c>
      <c r="T371" s="119">
        <f>IF($C$17&gt;=S356,SUM(T359:T370),"")</f>
        <v>964.2921323749614</v>
      </c>
      <c r="U371" s="108">
        <f>IF(Y372="",0,AVERAGE(U359:U370))</f>
        <v>1.0653529781259241</v>
      </c>
      <c r="V371" s="120">
        <f>IF($C$17&gt;=S356,SUM(V359:V370),"")</f>
        <v>1388.5806706199439</v>
      </c>
      <c r="W371" s="121">
        <f>IF($C$17&gt;=S356,SUM(W359:W370),"")</f>
        <v>1027.311495009063</v>
      </c>
      <c r="X371" s="121">
        <f>IF($C$17&gt;=S356,SUM(X359:X370),"")</f>
        <v>2415.8921656290076</v>
      </c>
    </row>
    <row r="372" spans="17:25" x14ac:dyDescent="0.15">
      <c r="W372" s="222" t="s">
        <v>53</v>
      </c>
      <c r="X372" s="117">
        <f>IF(AND($D$36="Yes",$D$38+1=S356,$C$17&gt;=S356),$B$38,0)</f>
        <v>0</v>
      </c>
      <c r="Y372" s="142">
        <f>IF(X371="",0,IF(AND($C$41="No",$D$36="No"),X371,IF(AND($C$41="Yes",$D$36="Yes"),(X371-X372)-($D$9+$B$38)*$E$41,IF(AND($C$41="Yes",$D$36="No"),X371-($D$9*$E$41),IF(AND($C$41="No",$D$36="Yes"),X371-X372,X371)))))</f>
        <v>2415.8921656290076</v>
      </c>
    </row>
    <row r="373" spans="17:25" ht="14" thickBot="1" x14ac:dyDescent="0.2">
      <c r="Y373" s="245" t="s">
        <v>85</v>
      </c>
    </row>
    <row r="374" spans="17:25" ht="17" thickBot="1" x14ac:dyDescent="0.25">
      <c r="R374" s="126" t="s">
        <v>48</v>
      </c>
      <c r="S374" s="127">
        <v>18</v>
      </c>
      <c r="T374" s="154" t="s">
        <v>66</v>
      </c>
      <c r="U374" s="143">
        <f>U356-($C$34*U356)</f>
        <v>801.16604664819704</v>
      </c>
      <c r="V374" s="155" t="s">
        <v>68</v>
      </c>
      <c r="W374" s="185">
        <f>ROUND($C$22/12,15)</f>
        <v>5.8333333333329997E-3</v>
      </c>
      <c r="X374" s="261">
        <f>IF(X389="",0,Y357/POWER($C$34+1,1)/POWER($E$41+1,S374))</f>
        <v>5631.1779461584956</v>
      </c>
      <c r="Y374" s="246">
        <f>U374*12</f>
        <v>9613.992559778364</v>
      </c>
    </row>
    <row r="375" spans="17:25" x14ac:dyDescent="0.15">
      <c r="U375" s="183" t="s">
        <v>76</v>
      </c>
      <c r="V375" s="166">
        <f>IF(S374&lt;=$C$29,$C$26,IF(AND(S374&gt;$C$29,$B$32="Yes"),AVERAGE(U377:U388),$D$32))</f>
        <v>0.16</v>
      </c>
      <c r="Y375" s="250">
        <f>IF(X374&gt;0,($D$12)/POWER($C$34+1,S374),0)</f>
        <v>9586.7035092652404</v>
      </c>
    </row>
    <row r="376" spans="17:25" x14ac:dyDescent="0.15">
      <c r="R376" s="122" t="s">
        <v>70</v>
      </c>
      <c r="S376" s="124">
        <f>$C$24</f>
        <v>0.9</v>
      </c>
      <c r="T376" s="125">
        <f>100%-$S$88</f>
        <v>9.9999999999999978E-2</v>
      </c>
      <c r="U376" s="112" t="s">
        <v>72</v>
      </c>
      <c r="V376" s="115" t="s">
        <v>71</v>
      </c>
      <c r="W376" s="115" t="s">
        <v>67</v>
      </c>
      <c r="X376" s="116" t="s">
        <v>69</v>
      </c>
    </row>
    <row r="377" spans="17:25" x14ac:dyDescent="0.15">
      <c r="Q377">
        <f>Q370+1</f>
        <v>204</v>
      </c>
      <c r="R377" s="166">
        <v>1</v>
      </c>
      <c r="S377" s="1">
        <f>$U$374*$C$24</f>
        <v>721.04944198337739</v>
      </c>
      <c r="T377" s="167">
        <f>$U$374*(100%-$C$24)</f>
        <v>80.11660466481969</v>
      </c>
      <c r="U377" s="168">
        <f>ROUND(U370*(1+$W$374),60)</f>
        <v>1.1061783197183801</v>
      </c>
      <c r="V377" s="169">
        <f>S377*$V$375</f>
        <v>115.36791071734038</v>
      </c>
      <c r="W377" s="186">
        <f t="shared" ref="W377:W388" si="93">T377*U377</f>
        <v>88.623251129671971</v>
      </c>
      <c r="X377" s="170">
        <f t="shared" ref="X377:X388" si="94">W377+V377</f>
        <v>203.99116184701234</v>
      </c>
    </row>
    <row r="378" spans="17:25" x14ac:dyDescent="0.15">
      <c r="Q378">
        <f>Q377+1</f>
        <v>205</v>
      </c>
      <c r="R378" s="166">
        <v>2</v>
      </c>
      <c r="S378" s="1">
        <f>$U$374*$C$24</f>
        <v>721.04944198337739</v>
      </c>
      <c r="T378" s="167">
        <f>$U$374*(100%-$C$24)</f>
        <v>80.11660466481969</v>
      </c>
      <c r="U378" s="168">
        <f>ROUND(U377*(1+$W$374),60)</f>
        <v>1.1126310265834001</v>
      </c>
      <c r="V378" s="169">
        <f t="shared" ref="V378:V388" si="95">S378*$V$375</f>
        <v>115.36791071734038</v>
      </c>
      <c r="W378" s="186">
        <f t="shared" si="93"/>
        <v>89.140220094594753</v>
      </c>
      <c r="X378" s="170">
        <f t="shared" si="94"/>
        <v>204.50813081193513</v>
      </c>
    </row>
    <row r="379" spans="17:25" x14ac:dyDescent="0.15">
      <c r="Q379">
        <f t="shared" ref="Q379:Q388" si="96">Q378+1</f>
        <v>206</v>
      </c>
      <c r="R379" s="166">
        <v>3</v>
      </c>
      <c r="S379" s="1">
        <f>$U$374*$C$24</f>
        <v>721.04944198337739</v>
      </c>
      <c r="T379" s="167">
        <f>$U$374*(100%-$C$24)</f>
        <v>80.11660466481969</v>
      </c>
      <c r="U379" s="168">
        <f t="shared" ref="U379:U388" si="97">ROUND(U378*(1+$W$374),60)</f>
        <v>1.11912137423847</v>
      </c>
      <c r="V379" s="169">
        <f t="shared" si="95"/>
        <v>115.36791071734038</v>
      </c>
      <c r="W379" s="186">
        <f t="shared" si="93"/>
        <v>89.660204711813236</v>
      </c>
      <c r="X379" s="170">
        <f t="shared" si="94"/>
        <v>205.02811542915362</v>
      </c>
    </row>
    <row r="380" spans="17:25" x14ac:dyDescent="0.15">
      <c r="Q380">
        <f t="shared" si="96"/>
        <v>207</v>
      </c>
      <c r="R380" s="166">
        <v>4</v>
      </c>
      <c r="S380" s="1">
        <f>$U$374*$C$24</f>
        <v>721.04944198337739</v>
      </c>
      <c r="T380" s="167">
        <f>$U$374*(100%-$C$24)</f>
        <v>80.11660466481969</v>
      </c>
      <c r="U380" s="168">
        <f t="shared" si="97"/>
        <v>1.12564958225486</v>
      </c>
      <c r="V380" s="169">
        <f t="shared" si="95"/>
        <v>115.36791071734038</v>
      </c>
      <c r="W380" s="186">
        <f t="shared" si="93"/>
        <v>90.183222572632047</v>
      </c>
      <c r="X380" s="170">
        <f t="shared" si="94"/>
        <v>205.55113328997243</v>
      </c>
    </row>
    <row r="381" spans="17:25" x14ac:dyDescent="0.15">
      <c r="Q381">
        <f t="shared" si="96"/>
        <v>208</v>
      </c>
      <c r="R381" s="166">
        <v>5</v>
      </c>
      <c r="S381" s="1">
        <f>$U$374*$C$24</f>
        <v>721.04944198337739</v>
      </c>
      <c r="T381" s="167">
        <f>$U$374*(100%-$C$24)</f>
        <v>80.11660466481969</v>
      </c>
      <c r="U381" s="168">
        <f t="shared" si="97"/>
        <v>1.1322158714846799</v>
      </c>
      <c r="V381" s="169">
        <f t="shared" si="95"/>
        <v>115.36791071734038</v>
      </c>
      <c r="W381" s="186">
        <f t="shared" si="93"/>
        <v>90.709291370972394</v>
      </c>
      <c r="X381" s="170">
        <f t="shared" si="94"/>
        <v>206.07720208831279</v>
      </c>
    </row>
    <row r="382" spans="17:25" x14ac:dyDescent="0.15">
      <c r="Q382">
        <f t="shared" si="96"/>
        <v>209</v>
      </c>
      <c r="R382" s="166">
        <v>6</v>
      </c>
      <c r="S382" s="1">
        <f>$U$374*$C$24</f>
        <v>721.04944198337739</v>
      </c>
      <c r="T382" s="167">
        <f>$U$374*(100%-$C$24)</f>
        <v>80.11660466481969</v>
      </c>
      <c r="U382" s="168">
        <f t="shared" si="97"/>
        <v>1.1388204640683399</v>
      </c>
      <c r="V382" s="169">
        <f t="shared" si="95"/>
        <v>115.36791071734038</v>
      </c>
      <c r="W382" s="186">
        <f t="shared" si="93"/>
        <v>91.238428903969691</v>
      </c>
      <c r="X382" s="170">
        <f t="shared" si="94"/>
        <v>206.60633962131007</v>
      </c>
    </row>
    <row r="383" spans="17:25" x14ac:dyDescent="0.15">
      <c r="Q383">
        <f t="shared" si="96"/>
        <v>210</v>
      </c>
      <c r="R383" s="166">
        <v>7</v>
      </c>
      <c r="S383" s="1">
        <f>$U$374*$C$24</f>
        <v>721.04944198337739</v>
      </c>
      <c r="T383" s="167">
        <f>$U$374*(100%-$C$24)</f>
        <v>80.11660466481969</v>
      </c>
      <c r="U383" s="168">
        <f t="shared" si="97"/>
        <v>1.1454635834420701</v>
      </c>
      <c r="V383" s="169">
        <f t="shared" si="95"/>
        <v>115.36791071734038</v>
      </c>
      <c r="W383" s="186">
        <f t="shared" si="93"/>
        <v>91.770653072576039</v>
      </c>
      <c r="X383" s="170">
        <f t="shared" si="94"/>
        <v>207.13856378991642</v>
      </c>
    </row>
    <row r="384" spans="17:25" x14ac:dyDescent="0.15">
      <c r="Q384">
        <f t="shared" si="96"/>
        <v>211</v>
      </c>
      <c r="R384" s="166">
        <v>8</v>
      </c>
      <c r="S384" s="1">
        <f>$U$374*$C$24</f>
        <v>721.04944198337739</v>
      </c>
      <c r="T384" s="167">
        <f>$U$374*(100%-$C$24)</f>
        <v>80.11660466481969</v>
      </c>
      <c r="U384" s="168">
        <f t="shared" si="97"/>
        <v>1.1521454543454801</v>
      </c>
      <c r="V384" s="169">
        <f t="shared" si="95"/>
        <v>115.36791071734038</v>
      </c>
      <c r="W384" s="186">
        <f t="shared" si="93"/>
        <v>92.305981882165895</v>
      </c>
      <c r="X384" s="170">
        <f t="shared" si="94"/>
        <v>207.67389259950627</v>
      </c>
    </row>
    <row r="385" spans="17:25" x14ac:dyDescent="0.15">
      <c r="Q385">
        <f t="shared" si="96"/>
        <v>212</v>
      </c>
      <c r="R385" s="166">
        <v>9</v>
      </c>
      <c r="S385" s="1">
        <f>$U$374*$C$24</f>
        <v>721.04944198337739</v>
      </c>
      <c r="T385" s="167">
        <f>$U$374*(100%-$C$24)</f>
        <v>80.11660466481969</v>
      </c>
      <c r="U385" s="168">
        <f t="shared" si="97"/>
        <v>1.1588663028291599</v>
      </c>
      <c r="V385" s="169">
        <f t="shared" si="95"/>
        <v>115.36791071734038</v>
      </c>
      <c r="W385" s="186">
        <f t="shared" si="93"/>
        <v>92.844433443145022</v>
      </c>
      <c r="X385" s="170">
        <f t="shared" si="94"/>
        <v>208.2123441604854</v>
      </c>
    </row>
    <row r="386" spans="17:25" x14ac:dyDescent="0.15">
      <c r="Q386">
        <f t="shared" si="96"/>
        <v>213</v>
      </c>
      <c r="R386" s="166">
        <v>10</v>
      </c>
      <c r="S386" s="1">
        <f>$U$374*$C$24</f>
        <v>721.04944198337739</v>
      </c>
      <c r="T386" s="167">
        <f>$U$374*(100%-$C$24)</f>
        <v>80.11660466481969</v>
      </c>
      <c r="U386" s="168">
        <f t="shared" si="97"/>
        <v>1.1656263562623299</v>
      </c>
      <c r="V386" s="169">
        <f t="shared" si="95"/>
        <v>115.36791071734038</v>
      </c>
      <c r="W386" s="186">
        <f t="shared" si="93"/>
        <v>93.386025971563356</v>
      </c>
      <c r="X386" s="170">
        <f t="shared" si="94"/>
        <v>208.75393668890374</v>
      </c>
    </row>
    <row r="387" spans="17:25" x14ac:dyDescent="0.15">
      <c r="Q387">
        <f t="shared" si="96"/>
        <v>214</v>
      </c>
      <c r="R387" s="166">
        <v>11</v>
      </c>
      <c r="S387" s="1">
        <f>$U$374*$C$24</f>
        <v>721.04944198337739</v>
      </c>
      <c r="T387" s="167">
        <f>$U$374*(100%-$C$24)</f>
        <v>80.11660466481969</v>
      </c>
      <c r="U387" s="168">
        <f t="shared" si="97"/>
        <v>1.1724258433405299</v>
      </c>
      <c r="V387" s="169">
        <f t="shared" si="95"/>
        <v>115.36791071734038</v>
      </c>
      <c r="W387" s="186">
        <f t="shared" si="93"/>
        <v>93.930777789731053</v>
      </c>
      <c r="X387" s="170">
        <f t="shared" si="94"/>
        <v>209.29868850707143</v>
      </c>
    </row>
    <row r="388" spans="17:25" x14ac:dyDescent="0.15">
      <c r="Q388">
        <f t="shared" si="96"/>
        <v>215</v>
      </c>
      <c r="R388" s="166">
        <v>12</v>
      </c>
      <c r="S388" s="1">
        <f>$U$374*$C$24</f>
        <v>721.04944198337739</v>
      </c>
      <c r="T388" s="167">
        <f>$U$374*(100%-$C$24)</f>
        <v>80.11660466481969</v>
      </c>
      <c r="U388" s="168">
        <f t="shared" si="97"/>
        <v>1.1792649940933499</v>
      </c>
      <c r="V388" s="169">
        <f t="shared" si="95"/>
        <v>115.36791071734038</v>
      </c>
      <c r="W388" s="186">
        <f t="shared" si="93"/>
        <v>94.478707326837849</v>
      </c>
      <c r="X388" s="170">
        <f t="shared" si="94"/>
        <v>209.84661804417823</v>
      </c>
    </row>
    <row r="389" spans="17:25" ht="16" x14ac:dyDescent="0.3">
      <c r="S389" s="118">
        <f>IF($C$17&gt;=S374,SUM(S377:S388),"")</f>
        <v>8652.5933038005296</v>
      </c>
      <c r="T389" s="119">
        <f>IF($C$17&gt;=S374,SUM(T377:T388),"")</f>
        <v>961.39925597783611</v>
      </c>
      <c r="U389" s="108">
        <f>IF(Y390="",0,AVERAGE(U377:U388))</f>
        <v>1.1423674310550875</v>
      </c>
      <c r="V389" s="120">
        <f>IF($C$17&gt;=S374,SUM(V377:V388),"")</f>
        <v>1384.4149286080847</v>
      </c>
      <c r="W389" s="121">
        <f>IF($C$17&gt;=S374,SUM(W377:W388),"")</f>
        <v>1098.2711982696733</v>
      </c>
      <c r="X389" s="121">
        <f>IF($C$17&gt;=S374,SUM(X377:X388),"")</f>
        <v>2482.6861268777579</v>
      </c>
    </row>
    <row r="390" spans="17:25" x14ac:dyDescent="0.15">
      <c r="W390" s="222" t="s">
        <v>53</v>
      </c>
      <c r="X390" s="117">
        <f>IF(AND($D$36="Yes",$D$38+1=S374,$C$17&gt;=S374),$B$38,0)</f>
        <v>0</v>
      </c>
      <c r="Y390" s="142">
        <f>IF(X389="",0,IF(AND($C$41="No",$D$36="No"),X389,IF(AND($C$41="Yes",$D$36="Yes"),(X389-X390)-($D$9+$B$38)*$E$41,IF(AND($C$41="Yes",$D$36="No"),X389-($D$9*$E$41),IF(AND($C$41="No",$D$36="Yes"),X389-X390,X389)))))</f>
        <v>2482.6861268777579</v>
      </c>
    </row>
    <row r="391" spans="17:25" ht="14" thickBot="1" x14ac:dyDescent="0.2">
      <c r="Y391" s="245" t="s">
        <v>85</v>
      </c>
    </row>
    <row r="392" spans="17:25" ht="17" thickBot="1" x14ac:dyDescent="0.25">
      <c r="R392" s="126" t="s">
        <v>48</v>
      </c>
      <c r="S392" s="127">
        <v>19</v>
      </c>
      <c r="T392" s="154" t="s">
        <v>66</v>
      </c>
      <c r="U392" s="143">
        <f>U374-($C$34*U374)</f>
        <v>798.76254850825239</v>
      </c>
      <c r="V392" s="155" t="s">
        <v>68</v>
      </c>
      <c r="W392" s="185">
        <f>ROUND($C$22/12,15)</f>
        <v>5.8333333333329997E-3</v>
      </c>
      <c r="X392" s="261">
        <f>IF(X407="",0,Y375/POWER($C$34+1,1)/POWER($E$41+1,S392))</f>
        <v>5450.8106226548489</v>
      </c>
      <c r="Y392" s="246">
        <f>U392*12</f>
        <v>9585.1505820990278</v>
      </c>
    </row>
    <row r="393" spans="17:25" x14ac:dyDescent="0.15">
      <c r="U393" s="183" t="s">
        <v>76</v>
      </c>
      <c r="V393" s="166">
        <f>IF(S392&lt;=$C$29,$C$26,IF(AND(S392&gt;$C$29,$B$32="Yes"),AVERAGE(U395:U406),$D$32))</f>
        <v>0.16</v>
      </c>
      <c r="Y393" s="250">
        <f>IF(X392&gt;0,($D$12)/POWER($C$34+1,S392),0)</f>
        <v>9558.0294210022348</v>
      </c>
    </row>
    <row r="394" spans="17:25" x14ac:dyDescent="0.15">
      <c r="R394" s="122" t="s">
        <v>70</v>
      </c>
      <c r="S394" s="124">
        <f>$C$24</f>
        <v>0.9</v>
      </c>
      <c r="T394" s="125">
        <f>100%-$S$88</f>
        <v>9.9999999999999978E-2</v>
      </c>
      <c r="U394" s="112" t="s">
        <v>72</v>
      </c>
      <c r="V394" s="115" t="s">
        <v>71</v>
      </c>
      <c r="W394" s="115" t="s">
        <v>67</v>
      </c>
      <c r="X394" s="116" t="s">
        <v>69</v>
      </c>
    </row>
    <row r="395" spans="17:25" x14ac:dyDescent="0.15">
      <c r="Q395">
        <f>Q388+1</f>
        <v>216</v>
      </c>
      <c r="R395" s="166">
        <v>1</v>
      </c>
      <c r="S395" s="1">
        <f>$U$392*$C$24</f>
        <v>718.88629365742713</v>
      </c>
      <c r="T395" s="167">
        <f>$U$392*(100%-$C$24)</f>
        <v>79.876254850825219</v>
      </c>
      <c r="U395" s="168">
        <f>ROUND(U388*(1+$W$392),60)</f>
        <v>1.1861440398922301</v>
      </c>
      <c r="V395" s="169">
        <f>S395*$V$393</f>
        <v>115.02180698518835</v>
      </c>
      <c r="W395" s="186">
        <f t="shared" ref="W395:W406" si="98">T395*U395</f>
        <v>94.744743620219168</v>
      </c>
      <c r="X395" s="170">
        <f t="shared" ref="X395:X406" si="99">W395+V395</f>
        <v>209.76655060540753</v>
      </c>
    </row>
    <row r="396" spans="17:25" x14ac:dyDescent="0.15">
      <c r="Q396">
        <f>Q395+1</f>
        <v>217</v>
      </c>
      <c r="R396" s="166">
        <v>2</v>
      </c>
      <c r="S396" s="1">
        <f>$U$392*$C$24</f>
        <v>718.88629365742713</v>
      </c>
      <c r="T396" s="167">
        <f>$U$392*(100%-$C$24)</f>
        <v>79.876254850825219</v>
      </c>
      <c r="U396" s="168">
        <f>ROUND(U395*(1+$W$392),60)</f>
        <v>1.1930632134582699</v>
      </c>
      <c r="V396" s="169">
        <f t="shared" ref="V396:V406" si="100">S396*$V$393</f>
        <v>115.02180698518835</v>
      </c>
      <c r="W396" s="186">
        <f t="shared" si="98"/>
        <v>95.297421291337258</v>
      </c>
      <c r="X396" s="170">
        <f t="shared" si="99"/>
        <v>210.31922827652562</v>
      </c>
    </row>
    <row r="397" spans="17:25" x14ac:dyDescent="0.15">
      <c r="Q397">
        <f t="shared" ref="Q397:Q406" si="101">Q396+1</f>
        <v>218</v>
      </c>
      <c r="R397" s="166">
        <v>3</v>
      </c>
      <c r="S397" s="1">
        <f>$U$392*$C$24</f>
        <v>718.88629365742713</v>
      </c>
      <c r="T397" s="167">
        <f>$U$392*(100%-$C$24)</f>
        <v>79.876254850825219</v>
      </c>
      <c r="U397" s="168">
        <f t="shared" ref="U397:U406" si="102">ROUND(U396*(1+$W$392),60)</f>
        <v>1.2000227488701101</v>
      </c>
      <c r="V397" s="169">
        <f t="shared" si="100"/>
        <v>115.02180698518835</v>
      </c>
      <c r="W397" s="186">
        <f t="shared" si="98"/>
        <v>95.853322915536737</v>
      </c>
      <c r="X397" s="170">
        <f t="shared" si="99"/>
        <v>210.87512990072509</v>
      </c>
    </row>
    <row r="398" spans="17:25" x14ac:dyDescent="0.15">
      <c r="Q398">
        <f t="shared" si="101"/>
        <v>219</v>
      </c>
      <c r="R398" s="166">
        <v>4</v>
      </c>
      <c r="S398" s="1">
        <f>$U$392*$C$24</f>
        <v>718.88629365742713</v>
      </c>
      <c r="T398" s="167">
        <f>$U$392*(100%-$C$24)</f>
        <v>79.876254850825219</v>
      </c>
      <c r="U398" s="168">
        <f t="shared" si="102"/>
        <v>1.20702288157185</v>
      </c>
      <c r="V398" s="169">
        <f t="shared" si="100"/>
        <v>115.02180698518835</v>
      </c>
      <c r="W398" s="186">
        <f t="shared" si="98"/>
        <v>96.412467299210519</v>
      </c>
      <c r="X398" s="170">
        <f t="shared" si="99"/>
        <v>211.43427428439887</v>
      </c>
    </row>
    <row r="399" spans="17:25" x14ac:dyDescent="0.15">
      <c r="Q399">
        <f t="shared" si="101"/>
        <v>220</v>
      </c>
      <c r="R399" s="166">
        <v>5</v>
      </c>
      <c r="S399" s="1">
        <f>$U$392*$C$24</f>
        <v>718.88629365742713</v>
      </c>
      <c r="T399" s="167">
        <f>$U$392*(100%-$C$24)</f>
        <v>79.876254850825219</v>
      </c>
      <c r="U399" s="168">
        <f t="shared" si="102"/>
        <v>1.21406384838102</v>
      </c>
      <c r="V399" s="169">
        <f t="shared" si="100"/>
        <v>115.02180698518835</v>
      </c>
      <c r="W399" s="186">
        <f t="shared" si="98"/>
        <v>96.97487335845598</v>
      </c>
      <c r="X399" s="170">
        <f t="shared" si="99"/>
        <v>211.99668034364433</v>
      </c>
    </row>
    <row r="400" spans="17:25" x14ac:dyDescent="0.15">
      <c r="Q400">
        <f t="shared" si="101"/>
        <v>221</v>
      </c>
      <c r="R400" s="166">
        <v>6</v>
      </c>
      <c r="S400" s="1">
        <f>$U$392*$C$24</f>
        <v>718.88629365742713</v>
      </c>
      <c r="T400" s="167">
        <f>$U$392*(100%-$C$24)</f>
        <v>79.876254850825219</v>
      </c>
      <c r="U400" s="168">
        <f t="shared" si="102"/>
        <v>1.2211458874965799</v>
      </c>
      <c r="V400" s="169">
        <f t="shared" si="100"/>
        <v>115.02180698518835</v>
      </c>
      <c r="W400" s="186">
        <f t="shared" si="98"/>
        <v>97.540560119713959</v>
      </c>
      <c r="X400" s="170">
        <f t="shared" si="99"/>
        <v>212.56236710490231</v>
      </c>
    </row>
    <row r="401" spans="17:25" x14ac:dyDescent="0.15">
      <c r="Q401">
        <f t="shared" si="101"/>
        <v>222</v>
      </c>
      <c r="R401" s="166">
        <v>7</v>
      </c>
      <c r="S401" s="1">
        <f>$U$392*$C$24</f>
        <v>718.88629365742713</v>
      </c>
      <c r="T401" s="167">
        <f>$U$392*(100%-$C$24)</f>
        <v>79.876254850825219</v>
      </c>
      <c r="U401" s="168">
        <f t="shared" si="102"/>
        <v>1.22826923850698</v>
      </c>
      <c r="V401" s="169">
        <f t="shared" si="100"/>
        <v>115.02180698518835</v>
      </c>
      <c r="W401" s="186">
        <f t="shared" si="98"/>
        <v>98.109546720412553</v>
      </c>
      <c r="X401" s="170">
        <f t="shared" si="99"/>
        <v>213.1313537056009</v>
      </c>
    </row>
    <row r="402" spans="17:25" x14ac:dyDescent="0.15">
      <c r="Q402">
        <f t="shared" si="101"/>
        <v>223</v>
      </c>
      <c r="R402" s="166">
        <v>8</v>
      </c>
      <c r="S402" s="1">
        <f>$U$392*$C$24</f>
        <v>718.88629365742713</v>
      </c>
      <c r="T402" s="167">
        <f>$U$392*(100%-$C$24)</f>
        <v>79.876254850825219</v>
      </c>
      <c r="U402" s="168">
        <f t="shared" si="102"/>
        <v>1.23543414239827</v>
      </c>
      <c r="V402" s="169">
        <f t="shared" si="100"/>
        <v>115.02180698518835</v>
      </c>
      <c r="W402" s="186">
        <f t="shared" si="98"/>
        <v>98.681852409614905</v>
      </c>
      <c r="X402" s="170">
        <f t="shared" si="99"/>
        <v>213.70365939480325</v>
      </c>
    </row>
    <row r="403" spans="17:25" x14ac:dyDescent="0.15">
      <c r="Q403">
        <f t="shared" si="101"/>
        <v>224</v>
      </c>
      <c r="R403" s="166">
        <v>9</v>
      </c>
      <c r="S403" s="1">
        <f>$U$392*$C$24</f>
        <v>718.88629365742713</v>
      </c>
      <c r="T403" s="167">
        <f>$U$392*(100%-$C$24)</f>
        <v>79.876254850825219</v>
      </c>
      <c r="U403" s="168">
        <f t="shared" si="102"/>
        <v>1.2426408415622601</v>
      </c>
      <c r="V403" s="169">
        <f t="shared" si="100"/>
        <v>115.02180698518835</v>
      </c>
      <c r="W403" s="186">
        <f t="shared" si="98"/>
        <v>99.257496548671014</v>
      </c>
      <c r="X403" s="170">
        <f t="shared" si="99"/>
        <v>214.27930353385938</v>
      </c>
    </row>
    <row r="404" spans="17:25" x14ac:dyDescent="0.15">
      <c r="Q404">
        <f t="shared" si="101"/>
        <v>225</v>
      </c>
      <c r="R404" s="166">
        <v>10</v>
      </c>
      <c r="S404" s="1">
        <f>$U$392*$C$24</f>
        <v>718.88629365742713</v>
      </c>
      <c r="T404" s="167">
        <f>$U$392*(100%-$C$24)</f>
        <v>79.876254850825219</v>
      </c>
      <c r="U404" s="168">
        <f t="shared" si="102"/>
        <v>1.24988957980471</v>
      </c>
      <c r="V404" s="169">
        <f t="shared" si="100"/>
        <v>115.02180698518835</v>
      </c>
      <c r="W404" s="186">
        <f t="shared" si="98"/>
        <v>99.83649861187186</v>
      </c>
      <c r="X404" s="170">
        <f t="shared" si="99"/>
        <v>214.85830559706022</v>
      </c>
    </row>
    <row r="405" spans="17:25" x14ac:dyDescent="0.15">
      <c r="Q405">
        <f t="shared" si="101"/>
        <v>226</v>
      </c>
      <c r="R405" s="166">
        <v>11</v>
      </c>
      <c r="S405" s="1">
        <f>$U$392*$C$24</f>
        <v>718.88629365742713</v>
      </c>
      <c r="T405" s="167">
        <f>$U$392*(100%-$C$24)</f>
        <v>79.876254850825219</v>
      </c>
      <c r="U405" s="168">
        <f t="shared" si="102"/>
        <v>1.2571806023535701</v>
      </c>
      <c r="V405" s="169">
        <f t="shared" si="100"/>
        <v>115.02180698518835</v>
      </c>
      <c r="W405" s="186">
        <f t="shared" si="98"/>
        <v>100.41887818710772</v>
      </c>
      <c r="X405" s="170">
        <f t="shared" si="99"/>
        <v>215.44068517229607</v>
      </c>
    </row>
    <row r="406" spans="17:25" x14ac:dyDescent="0.15">
      <c r="Q406">
        <f t="shared" si="101"/>
        <v>227</v>
      </c>
      <c r="R406" s="166">
        <v>12</v>
      </c>
      <c r="S406" s="1">
        <f>$U$392*$C$24</f>
        <v>718.88629365742713</v>
      </c>
      <c r="T406" s="167">
        <f>$U$392*(100%-$C$24)</f>
        <v>79.876254850825219</v>
      </c>
      <c r="U406" s="168">
        <f t="shared" si="102"/>
        <v>1.2645141558673001</v>
      </c>
      <c r="V406" s="169">
        <f t="shared" si="100"/>
        <v>115.02180698518835</v>
      </c>
      <c r="W406" s="186">
        <f t="shared" si="98"/>
        <v>101.00465497653259</v>
      </c>
      <c r="X406" s="170">
        <f t="shared" si="99"/>
        <v>216.02646196172094</v>
      </c>
    </row>
    <row r="407" spans="17:25" ht="16" x14ac:dyDescent="0.3">
      <c r="S407" s="118">
        <f>IF($C$17&gt;=S392,SUM(S395:S406),"")</f>
        <v>8626.6355238891247</v>
      </c>
      <c r="T407" s="119">
        <f>IF($C$17&gt;=S392,SUM(T395:T406),"")</f>
        <v>958.5150582099028</v>
      </c>
      <c r="U407" s="108">
        <f>IF(Y408="",0,AVERAGE(U395:U406))</f>
        <v>1.2249492650135958</v>
      </c>
      <c r="V407" s="120">
        <f>IF($C$17&gt;=S392,SUM(V395:V406),"")</f>
        <v>1380.26168382226</v>
      </c>
      <c r="W407" s="121">
        <f>IF($C$17&gt;=S392,SUM(W395:W406),"")</f>
        <v>1174.1323160586842</v>
      </c>
      <c r="X407" s="121">
        <f>IF($C$17&gt;=S392,SUM(X395:X406),"")</f>
        <v>2554.3939998809442</v>
      </c>
    </row>
    <row r="408" spans="17:25" x14ac:dyDescent="0.15">
      <c r="W408" s="222" t="s">
        <v>53</v>
      </c>
      <c r="X408" s="117">
        <f>IF(AND($D$36="Yes",$D$38+1=S392,$C$17&gt;=S392),$B$38,0)</f>
        <v>0</v>
      </c>
      <c r="Y408" s="142">
        <f>IF(X407="",0,IF(AND($C$41="No",$D$36="No"),X407,IF(AND($C$41="Yes",$D$36="Yes"),(X407-X408)-($D$9+$B$38)*$E$41,IF(AND($C$41="Yes",$D$36="No"),X407-($D$9*$E$41),IF(AND($C$41="No",$D$36="Yes"),X407-X408,X407)))))</f>
        <v>2554.3939998809442</v>
      </c>
    </row>
    <row r="409" spans="17:25" ht="14" thickBot="1" x14ac:dyDescent="0.2">
      <c r="Y409" s="245" t="s">
        <v>85</v>
      </c>
    </row>
    <row r="410" spans="17:25" ht="17" thickBot="1" x14ac:dyDescent="0.25">
      <c r="R410" s="126" t="s">
        <v>48</v>
      </c>
      <c r="S410" s="127">
        <v>20</v>
      </c>
      <c r="T410" s="154" t="s">
        <v>66</v>
      </c>
      <c r="U410" s="143">
        <f>U392-($C$34*U392)</f>
        <v>796.36626086272759</v>
      </c>
      <c r="V410" s="155" t="s">
        <v>68</v>
      </c>
      <c r="W410" s="185">
        <f>ROUND($C$22/12,15)</f>
        <v>5.8333333333329997E-3</v>
      </c>
      <c r="X410" s="261">
        <f>IF(X425="",0,Y393/POWER($C$34+1,1)/POWER($E$41+1,S410))</f>
        <v>5276.220486748346</v>
      </c>
      <c r="Y410" s="246">
        <f>U410*12</f>
        <v>9556.3951303527319</v>
      </c>
    </row>
    <row r="411" spans="17:25" x14ac:dyDescent="0.15">
      <c r="U411" s="183" t="s">
        <v>76</v>
      </c>
      <c r="V411" s="166">
        <f>IF(S410&lt;=$C$29,$C$26,IF(AND(S410&gt;$C$29,$B$32="Yes"),AVERAGE(U413:U424),$D$32))</f>
        <v>0.16</v>
      </c>
      <c r="Y411" s="250">
        <f>IF(X410&gt;0,($D$12)/POWER($C$34+1,S410),0)</f>
        <v>9529.4410977091084</v>
      </c>
    </row>
    <row r="412" spans="17:25" x14ac:dyDescent="0.15">
      <c r="R412" s="122" t="s">
        <v>70</v>
      </c>
      <c r="S412" s="124">
        <f>$C$24</f>
        <v>0.9</v>
      </c>
      <c r="T412" s="125">
        <f>100%-$S$88</f>
        <v>9.9999999999999978E-2</v>
      </c>
      <c r="U412" s="112" t="s">
        <v>72</v>
      </c>
      <c r="V412" s="115" t="s">
        <v>71</v>
      </c>
      <c r="W412" s="115" t="s">
        <v>67</v>
      </c>
      <c r="X412" s="116" t="s">
        <v>69</v>
      </c>
    </row>
    <row r="413" spans="17:25" x14ac:dyDescent="0.15">
      <c r="Q413">
        <f>Q406+1</f>
        <v>228</v>
      </c>
      <c r="R413" s="166">
        <v>1</v>
      </c>
      <c r="S413" s="1">
        <f>$U$410*$C$24</f>
        <v>716.72963477645487</v>
      </c>
      <c r="T413" s="167">
        <f>$U$410*(100%-$C$24)</f>
        <v>79.636626086272742</v>
      </c>
      <c r="U413" s="168">
        <f>ROUND(U406*(1+$W$410),60)</f>
        <v>1.2718904884431901</v>
      </c>
      <c r="V413" s="169">
        <f>S413*$V$411</f>
        <v>114.67674156423278</v>
      </c>
      <c r="W413" s="186">
        <f t="shared" ref="W413:W424" si="103">T413*U413</f>
        <v>101.28906725083714</v>
      </c>
      <c r="X413" s="170">
        <f t="shared" ref="X413:X424" si="104">W413+V413</f>
        <v>215.96580881506992</v>
      </c>
    </row>
    <row r="414" spans="17:25" x14ac:dyDescent="0.15">
      <c r="Q414">
        <f>Q413+1</f>
        <v>229</v>
      </c>
      <c r="R414" s="166">
        <v>2</v>
      </c>
      <c r="S414" s="1">
        <f>$U$410*$C$24</f>
        <v>716.72963477645487</v>
      </c>
      <c r="T414" s="167">
        <f>$U$410*(100%-$C$24)</f>
        <v>79.636626086272742</v>
      </c>
      <c r="U414" s="168">
        <f>ROUND(U413*(1+$W$410),60)</f>
        <v>1.27930984962577</v>
      </c>
      <c r="V414" s="169">
        <f t="shared" ref="V414:V424" si="105">S414*$V$411</f>
        <v>114.67674156423278</v>
      </c>
      <c r="W414" s="186">
        <f t="shared" si="103"/>
        <v>101.87992014313325</v>
      </c>
      <c r="X414" s="170">
        <f t="shared" si="104"/>
        <v>216.55666170736603</v>
      </c>
    </row>
    <row r="415" spans="17:25" x14ac:dyDescent="0.15">
      <c r="Q415">
        <f t="shared" ref="Q415:Q424" si="106">Q414+1</f>
        <v>230</v>
      </c>
      <c r="R415" s="166">
        <v>3</v>
      </c>
      <c r="S415" s="1">
        <f>$U$410*$C$24</f>
        <v>716.72963477645487</v>
      </c>
      <c r="T415" s="167">
        <f>$U$410*(100%-$C$24)</f>
        <v>79.636626086272742</v>
      </c>
      <c r="U415" s="168">
        <f t="shared" ref="U415:U424" si="107">ROUND(U414*(1+$W$410),60)</f>
        <v>1.28677249041525</v>
      </c>
      <c r="V415" s="169">
        <f t="shared" si="105"/>
        <v>114.67674156423278</v>
      </c>
      <c r="W415" s="186">
        <f t="shared" si="103"/>
        <v>102.47421967730124</v>
      </c>
      <c r="X415" s="170">
        <f t="shared" si="104"/>
        <v>217.15096124153402</v>
      </c>
    </row>
    <row r="416" spans="17:25" x14ac:dyDescent="0.15">
      <c r="Q416">
        <f t="shared" si="106"/>
        <v>231</v>
      </c>
      <c r="R416" s="166">
        <v>4</v>
      </c>
      <c r="S416" s="1">
        <f>$U$410*$C$24</f>
        <v>716.72963477645487</v>
      </c>
      <c r="T416" s="167">
        <f>$U$410*(100%-$C$24)</f>
        <v>79.636626086272742</v>
      </c>
      <c r="U416" s="168">
        <f t="shared" si="107"/>
        <v>1.2942786632760099</v>
      </c>
      <c r="V416" s="169">
        <f t="shared" si="105"/>
        <v>114.67674156423278</v>
      </c>
      <c r="W416" s="186">
        <f t="shared" si="103"/>
        <v>103.07198595875251</v>
      </c>
      <c r="X416" s="170">
        <f t="shared" si="104"/>
        <v>217.74872752298529</v>
      </c>
    </row>
    <row r="417" spans="17:25" x14ac:dyDescent="0.15">
      <c r="Q417">
        <f t="shared" si="106"/>
        <v>232</v>
      </c>
      <c r="R417" s="166">
        <v>5</v>
      </c>
      <c r="S417" s="1">
        <f>$U$410*$C$24</f>
        <v>716.72963477645487</v>
      </c>
      <c r="T417" s="167">
        <f>$U$410*(100%-$C$24)</f>
        <v>79.636626086272742</v>
      </c>
      <c r="U417" s="168">
        <f t="shared" si="107"/>
        <v>1.3018286221451201</v>
      </c>
      <c r="V417" s="169">
        <f t="shared" si="105"/>
        <v>114.67674156423278</v>
      </c>
      <c r="W417" s="186">
        <f t="shared" si="103"/>
        <v>103.67323921017856</v>
      </c>
      <c r="X417" s="170">
        <f t="shared" si="104"/>
        <v>218.34998077441134</v>
      </c>
    </row>
    <row r="418" spans="17:25" x14ac:dyDescent="0.15">
      <c r="Q418">
        <f t="shared" si="106"/>
        <v>233</v>
      </c>
      <c r="R418" s="166">
        <v>6</v>
      </c>
      <c r="S418" s="1">
        <f>$U$410*$C$24</f>
        <v>716.72963477645487</v>
      </c>
      <c r="T418" s="167">
        <f>$U$410*(100%-$C$24)</f>
        <v>79.636626086272742</v>
      </c>
      <c r="U418" s="168">
        <f t="shared" si="107"/>
        <v>1.30942262244097</v>
      </c>
      <c r="V418" s="169">
        <f t="shared" si="105"/>
        <v>114.67674156423278</v>
      </c>
      <c r="W418" s="186">
        <f t="shared" si="103"/>
        <v>104.27799977223822</v>
      </c>
      <c r="X418" s="170">
        <f t="shared" si="104"/>
        <v>218.95474133647099</v>
      </c>
    </row>
    <row r="419" spans="17:25" x14ac:dyDescent="0.15">
      <c r="Q419">
        <f t="shared" si="106"/>
        <v>234</v>
      </c>
      <c r="R419" s="166">
        <v>7</v>
      </c>
      <c r="S419" s="1">
        <f>$U$410*$C$24</f>
        <v>716.72963477645487</v>
      </c>
      <c r="T419" s="167">
        <f>$U$410*(100%-$C$24)</f>
        <v>79.636626086272742</v>
      </c>
      <c r="U419" s="168">
        <f t="shared" si="107"/>
        <v>1.31706092107188</v>
      </c>
      <c r="V419" s="169">
        <f t="shared" si="105"/>
        <v>114.67674156423278</v>
      </c>
      <c r="W419" s="186">
        <f t="shared" si="103"/>
        <v>104.88628810424328</v>
      </c>
      <c r="X419" s="170">
        <f t="shared" si="104"/>
        <v>219.56302966847608</v>
      </c>
    </row>
    <row r="420" spans="17:25" x14ac:dyDescent="0.15">
      <c r="Q420">
        <f t="shared" si="106"/>
        <v>235</v>
      </c>
      <c r="R420" s="166">
        <v>8</v>
      </c>
      <c r="S420" s="1">
        <f>$U$410*$C$24</f>
        <v>716.72963477645487</v>
      </c>
      <c r="T420" s="167">
        <f>$U$410*(100%-$C$24)</f>
        <v>79.636626086272742</v>
      </c>
      <c r="U420" s="168">
        <f t="shared" si="107"/>
        <v>1.3247437764448</v>
      </c>
      <c r="V420" s="169">
        <f t="shared" si="105"/>
        <v>114.67674156423278</v>
      </c>
      <c r="W420" s="186">
        <f t="shared" si="103"/>
        <v>105.49812478485143</v>
      </c>
      <c r="X420" s="170">
        <f t="shared" si="104"/>
        <v>220.1748663490842</v>
      </c>
    </row>
    <row r="421" spans="17:25" x14ac:dyDescent="0.15">
      <c r="Q421">
        <f t="shared" si="106"/>
        <v>236</v>
      </c>
      <c r="R421" s="166">
        <v>9</v>
      </c>
      <c r="S421" s="1">
        <f>$U$410*$C$24</f>
        <v>716.72963477645487</v>
      </c>
      <c r="T421" s="167">
        <f>$U$410*(100%-$C$24)</f>
        <v>79.636626086272742</v>
      </c>
      <c r="U421" s="168">
        <f t="shared" si="107"/>
        <v>1.3324714484740601</v>
      </c>
      <c r="V421" s="169">
        <f t="shared" si="105"/>
        <v>114.67674156423278</v>
      </c>
      <c r="W421" s="186">
        <f t="shared" si="103"/>
        <v>106.11353051276296</v>
      </c>
      <c r="X421" s="170">
        <f t="shared" si="104"/>
        <v>220.79027207699573</v>
      </c>
    </row>
    <row r="422" spans="17:25" x14ac:dyDescent="0.15">
      <c r="Q422">
        <f t="shared" si="106"/>
        <v>237</v>
      </c>
      <c r="R422" s="166">
        <v>10</v>
      </c>
      <c r="S422" s="1">
        <f>$U$410*$C$24</f>
        <v>716.72963477645487</v>
      </c>
      <c r="T422" s="167">
        <f>$U$410*(100%-$C$24)</f>
        <v>79.636626086272742</v>
      </c>
      <c r="U422" s="168">
        <f t="shared" si="107"/>
        <v>1.3402441985901601</v>
      </c>
      <c r="V422" s="169">
        <f t="shared" si="105"/>
        <v>114.67674156423278</v>
      </c>
      <c r="W422" s="186">
        <f t="shared" si="103"/>
        <v>106.73252610742085</v>
      </c>
      <c r="X422" s="170">
        <f t="shared" si="104"/>
        <v>221.40926767165365</v>
      </c>
    </row>
    <row r="423" spans="17:25" x14ac:dyDescent="0.15">
      <c r="Q423">
        <f t="shared" si="106"/>
        <v>238</v>
      </c>
      <c r="R423" s="166">
        <v>11</v>
      </c>
      <c r="S423" s="1">
        <f>$U$410*$C$24</f>
        <v>716.72963477645487</v>
      </c>
      <c r="T423" s="167">
        <f>$U$410*(100%-$C$24)</f>
        <v>79.636626086272742</v>
      </c>
      <c r="U423" s="168">
        <f t="shared" si="107"/>
        <v>1.3480622897486001</v>
      </c>
      <c r="V423" s="169">
        <f t="shared" si="105"/>
        <v>114.67674156423278</v>
      </c>
      <c r="W423" s="186">
        <f t="shared" si="103"/>
        <v>107.35513250971393</v>
      </c>
      <c r="X423" s="170">
        <f t="shared" si="104"/>
        <v>222.03187407394671</v>
      </c>
    </row>
    <row r="424" spans="17:25" x14ac:dyDescent="0.15">
      <c r="Q424">
        <f t="shared" si="106"/>
        <v>239</v>
      </c>
      <c r="R424" s="166">
        <v>12</v>
      </c>
      <c r="S424" s="1">
        <f>$U$410*$C$24</f>
        <v>716.72963477645487</v>
      </c>
      <c r="T424" s="167">
        <f>$U$410*(100%-$C$24)</f>
        <v>79.636626086272742</v>
      </c>
      <c r="U424" s="168">
        <f t="shared" si="107"/>
        <v>1.3559259864388</v>
      </c>
      <c r="V424" s="169">
        <f t="shared" si="105"/>
        <v>114.67674156423278</v>
      </c>
      <c r="W424" s="186">
        <f t="shared" si="103"/>
        <v>107.98137078268724</v>
      </c>
      <c r="X424" s="170">
        <f t="shared" si="104"/>
        <v>222.65811234692001</v>
      </c>
    </row>
    <row r="425" spans="17:25" ht="16" x14ac:dyDescent="0.3">
      <c r="S425" s="118">
        <f>IF($C$17&gt;=S410,SUM(S413:S424),"")</f>
        <v>8600.755617317458</v>
      </c>
      <c r="T425" s="119">
        <f>IF($C$17&gt;=S410,SUM(T413:T424),"")</f>
        <v>955.63951303527267</v>
      </c>
      <c r="U425" s="108">
        <f>IF(Y426="",0,AVERAGE(U413:U424))</f>
        <v>1.3135009464262175</v>
      </c>
      <c r="V425" s="120">
        <f>IF($C$17&gt;=S410,SUM(V413:V424),"")</f>
        <v>1376.1208987707935</v>
      </c>
      <c r="W425" s="121">
        <f>IF($C$17&gt;=S410,SUM(W413:W424),"")</f>
        <v>1255.2334048141206</v>
      </c>
      <c r="X425" s="121">
        <f>IF($C$17&gt;=S410,SUM(X413:X424),"")</f>
        <v>2631.3543035849139</v>
      </c>
    </row>
    <row r="426" spans="17:25" x14ac:dyDescent="0.15">
      <c r="W426" s="222" t="s">
        <v>53</v>
      </c>
      <c r="X426" s="117">
        <f>IF(AND($D$36="Yes",$D$38+1=S410,$C$17&gt;=S410),$B$38,0)</f>
        <v>0</v>
      </c>
      <c r="Y426" s="142">
        <f>IF(X425="",0,IF(AND($C$41="No",$D$36="No"),X425,IF(AND($C$41="Yes",$D$36="Yes"),(X425-X426)-($D$9+$B$38)*$E$41,IF(AND($C$41="Yes",$D$36="No"),X425-($D$9*$E$41),IF(AND($C$41="No",$D$36="Yes"),X425-X426,X425)))))</f>
        <v>2631.3543035849139</v>
      </c>
    </row>
    <row r="427" spans="17:25" ht="14" thickBot="1" x14ac:dyDescent="0.2">
      <c r="Y427" s="245" t="s">
        <v>85</v>
      </c>
    </row>
    <row r="428" spans="17:25" ht="17" thickBot="1" x14ac:dyDescent="0.25">
      <c r="R428" s="126" t="s">
        <v>48</v>
      </c>
      <c r="S428" s="127">
        <v>21</v>
      </c>
      <c r="T428" s="154" t="s">
        <v>66</v>
      </c>
      <c r="U428" s="143">
        <f>U410-($C$34*U410)</f>
        <v>793.97716208013935</v>
      </c>
      <c r="V428" s="155" t="s">
        <v>68</v>
      </c>
      <c r="W428" s="185">
        <f>ROUND($C$22/12,15)</f>
        <v>5.8333333333329997E-3</v>
      </c>
      <c r="X428" s="261">
        <f>IF(X443="",0,Y411/POWER($C$34+1,1)/POWER($E$41+1,S428))</f>
        <v>5107.2224944083746</v>
      </c>
      <c r="Y428" s="246">
        <f>U428*12</f>
        <v>9527.7259449616722</v>
      </c>
    </row>
    <row r="429" spans="17:25" x14ac:dyDescent="0.15">
      <c r="U429" s="183" t="s">
        <v>76</v>
      </c>
      <c r="V429" s="166">
        <f>IF(S428&lt;=$C$29,$C$26,IF(AND(S428&gt;$C$29,$B$32="Yes"),AVERAGE(U431:U442),$D$32))</f>
        <v>0.16</v>
      </c>
      <c r="Y429" s="250">
        <f>IF(X428&gt;0,($D$12)/POWER($C$34+1,S428),0)</f>
        <v>9500.9382828605267</v>
      </c>
    </row>
    <row r="430" spans="17:25" x14ac:dyDescent="0.15">
      <c r="R430" s="122" t="s">
        <v>70</v>
      </c>
      <c r="S430" s="124">
        <f>$C$24</f>
        <v>0.9</v>
      </c>
      <c r="T430" s="125">
        <f>100%-$S$88</f>
        <v>9.9999999999999978E-2</v>
      </c>
      <c r="U430" s="112" t="s">
        <v>72</v>
      </c>
      <c r="V430" s="115" t="s">
        <v>71</v>
      </c>
      <c r="W430" s="115" t="s">
        <v>67</v>
      </c>
      <c r="X430" s="116" t="s">
        <v>69</v>
      </c>
    </row>
    <row r="431" spans="17:25" x14ac:dyDescent="0.15">
      <c r="Q431">
        <f>Q424+1</f>
        <v>240</v>
      </c>
      <c r="R431" s="166">
        <v>1</v>
      </c>
      <c r="S431" s="1">
        <f>$U$428*$C$24</f>
        <v>714.57944587212546</v>
      </c>
      <c r="T431" s="167">
        <f>$U$428*(100%-$C$24)</f>
        <v>79.397716208013918</v>
      </c>
      <c r="U431" s="168">
        <f>ROUND(U424*(1+$W$428),60)</f>
        <v>1.3638355546930301</v>
      </c>
      <c r="V431" s="169">
        <f>S431*$V$429</f>
        <v>114.33271133954008</v>
      </c>
      <c r="W431" s="186">
        <f t="shared" ref="W431:W442" si="108">T431*U431</f>
        <v>108.28542832591644</v>
      </c>
      <c r="X431" s="170">
        <f t="shared" ref="X431:X442" si="109">W431+V431</f>
        <v>222.61813966545651</v>
      </c>
    </row>
    <row r="432" spans="17:25" x14ac:dyDescent="0.15">
      <c r="Q432">
        <f>Q431+1</f>
        <v>241</v>
      </c>
      <c r="R432" s="166">
        <v>2</v>
      </c>
      <c r="S432" s="1">
        <f>$U$428*$C$24</f>
        <v>714.57944587212546</v>
      </c>
      <c r="T432" s="167">
        <f>$U$428*(100%-$C$24)</f>
        <v>79.397716208013918</v>
      </c>
      <c r="U432" s="168">
        <f>ROUND(U431*(1+$W$428),60)</f>
        <v>1.37179126209541</v>
      </c>
      <c r="V432" s="169">
        <f t="shared" ref="V432:V442" si="110">S432*$V$429</f>
        <v>114.33271133954008</v>
      </c>
      <c r="W432" s="186">
        <f t="shared" si="108"/>
        <v>108.91709332448461</v>
      </c>
      <c r="X432" s="170">
        <f t="shared" si="109"/>
        <v>223.24980466402468</v>
      </c>
    </row>
    <row r="433" spans="17:25" x14ac:dyDescent="0.15">
      <c r="Q433">
        <f t="shared" ref="Q433:Q442" si="111">Q432+1</f>
        <v>242</v>
      </c>
      <c r="R433" s="166">
        <v>3</v>
      </c>
      <c r="S433" s="1">
        <f>$U$428*$C$24</f>
        <v>714.57944587212546</v>
      </c>
      <c r="T433" s="167">
        <f>$U$428*(100%-$C$24)</f>
        <v>79.397716208013918</v>
      </c>
      <c r="U433" s="168">
        <f t="shared" ref="U433:U442" si="112">ROUND(U432*(1+$W$428),60)</f>
        <v>1.3797933777909701</v>
      </c>
      <c r="V433" s="169">
        <f t="shared" si="110"/>
        <v>114.33271133954008</v>
      </c>
      <c r="W433" s="186">
        <f t="shared" si="108"/>
        <v>109.55244303554439</v>
      </c>
      <c r="X433" s="170">
        <f t="shared" si="109"/>
        <v>223.88515437508448</v>
      </c>
    </row>
    <row r="434" spans="17:25" x14ac:dyDescent="0.15">
      <c r="Q434">
        <f t="shared" si="111"/>
        <v>243</v>
      </c>
      <c r="R434" s="166">
        <v>4</v>
      </c>
      <c r="S434" s="1">
        <f>$U$428*$C$24</f>
        <v>714.57944587212546</v>
      </c>
      <c r="T434" s="167">
        <f>$U$428*(100%-$C$24)</f>
        <v>79.397716208013918</v>
      </c>
      <c r="U434" s="168">
        <f t="shared" si="112"/>
        <v>1.3878421724947501</v>
      </c>
      <c r="V434" s="169">
        <f t="shared" si="110"/>
        <v>114.33271133954008</v>
      </c>
      <c r="W434" s="186">
        <f t="shared" si="108"/>
        <v>110.19149895325167</v>
      </c>
      <c r="X434" s="170">
        <f t="shared" si="109"/>
        <v>224.52421029279174</v>
      </c>
    </row>
    <row r="435" spans="17:25" x14ac:dyDescent="0.15">
      <c r="Q435">
        <f t="shared" si="111"/>
        <v>244</v>
      </c>
      <c r="R435" s="166">
        <v>5</v>
      </c>
      <c r="S435" s="1">
        <f>$U$428*$C$24</f>
        <v>714.57944587212546</v>
      </c>
      <c r="T435" s="167">
        <f>$U$428*(100%-$C$24)</f>
        <v>79.397716208013918</v>
      </c>
      <c r="U435" s="168">
        <f t="shared" si="112"/>
        <v>1.3959379185009699</v>
      </c>
      <c r="V435" s="169">
        <f t="shared" si="110"/>
        <v>114.33271133954008</v>
      </c>
      <c r="W435" s="186">
        <f t="shared" si="108"/>
        <v>110.83428269714567</v>
      </c>
      <c r="X435" s="170">
        <f t="shared" si="109"/>
        <v>225.16699403668576</v>
      </c>
    </row>
    <row r="436" spans="17:25" x14ac:dyDescent="0.15">
      <c r="Q436">
        <f t="shared" si="111"/>
        <v>245</v>
      </c>
      <c r="R436" s="166">
        <v>6</v>
      </c>
      <c r="S436" s="1">
        <f>$U$428*$C$24</f>
        <v>714.57944587212546</v>
      </c>
      <c r="T436" s="167">
        <f>$U$428*(100%-$C$24)</f>
        <v>79.397716208013918</v>
      </c>
      <c r="U436" s="168">
        <f t="shared" si="112"/>
        <v>1.4040808896922199</v>
      </c>
      <c r="V436" s="169">
        <f t="shared" si="110"/>
        <v>114.33271133954008</v>
      </c>
      <c r="W436" s="186">
        <f t="shared" si="108"/>
        <v>111.48081601287856</v>
      </c>
      <c r="X436" s="170">
        <f t="shared" si="109"/>
        <v>225.81352735241865</v>
      </c>
    </row>
    <row r="437" spans="17:25" x14ac:dyDescent="0.15">
      <c r="Q437">
        <f t="shared" si="111"/>
        <v>246</v>
      </c>
      <c r="R437" s="166">
        <v>7</v>
      </c>
      <c r="S437" s="1">
        <f>$U$428*$C$24</f>
        <v>714.57944587212546</v>
      </c>
      <c r="T437" s="167">
        <f>$U$428*(100%-$C$24)</f>
        <v>79.397716208013918</v>
      </c>
      <c r="U437" s="168">
        <f t="shared" si="112"/>
        <v>1.4122713615487601</v>
      </c>
      <c r="V437" s="169">
        <f t="shared" si="110"/>
        <v>114.33271133954008</v>
      </c>
      <c r="W437" s="186">
        <f t="shared" si="108"/>
        <v>112.13112077295388</v>
      </c>
      <c r="X437" s="170">
        <f t="shared" si="109"/>
        <v>226.46383211249395</v>
      </c>
    </row>
    <row r="438" spans="17:25" x14ac:dyDescent="0.15">
      <c r="Q438">
        <f t="shared" si="111"/>
        <v>247</v>
      </c>
      <c r="R438" s="166">
        <v>8</v>
      </c>
      <c r="S438" s="1">
        <f>$U$428*$C$24</f>
        <v>714.57944587212546</v>
      </c>
      <c r="T438" s="167">
        <f>$U$428*(100%-$C$24)</f>
        <v>79.397716208013918</v>
      </c>
      <c r="U438" s="168">
        <f t="shared" si="112"/>
        <v>1.42050961115779</v>
      </c>
      <c r="V438" s="169">
        <f t="shared" si="110"/>
        <v>114.33271133954008</v>
      </c>
      <c r="W438" s="186">
        <f t="shared" si="108"/>
        <v>112.78521897746241</v>
      </c>
      <c r="X438" s="170">
        <f t="shared" si="109"/>
        <v>227.1179303170025</v>
      </c>
    </row>
    <row r="439" spans="17:25" x14ac:dyDescent="0.15">
      <c r="Q439">
        <f t="shared" si="111"/>
        <v>248</v>
      </c>
      <c r="R439" s="166">
        <v>9</v>
      </c>
      <c r="S439" s="1">
        <f>$U$428*$C$24</f>
        <v>714.57944587212546</v>
      </c>
      <c r="T439" s="167">
        <f>$U$428*(100%-$C$24)</f>
        <v>79.397716208013918</v>
      </c>
      <c r="U439" s="168">
        <f t="shared" si="112"/>
        <v>1.4287959172228799</v>
      </c>
      <c r="V439" s="169">
        <f t="shared" si="110"/>
        <v>114.33271133954008</v>
      </c>
      <c r="W439" s="186">
        <f t="shared" si="108"/>
        <v>113.44313275483117</v>
      </c>
      <c r="X439" s="170">
        <f t="shared" si="109"/>
        <v>227.77584409437125</v>
      </c>
    </row>
    <row r="440" spans="17:25" x14ac:dyDescent="0.15">
      <c r="Q440">
        <f t="shared" si="111"/>
        <v>249</v>
      </c>
      <c r="R440" s="166">
        <v>10</v>
      </c>
      <c r="S440" s="1">
        <f>$U$428*$C$24</f>
        <v>714.57944587212546</v>
      </c>
      <c r="T440" s="167">
        <f>$U$428*(100%-$C$24)</f>
        <v>79.397716208013918</v>
      </c>
      <c r="U440" s="168">
        <f t="shared" si="112"/>
        <v>1.4371305600733499</v>
      </c>
      <c r="V440" s="169">
        <f t="shared" si="110"/>
        <v>114.33271133954008</v>
      </c>
      <c r="W440" s="186">
        <f t="shared" si="108"/>
        <v>114.10488436256793</v>
      </c>
      <c r="X440" s="170">
        <f t="shared" si="109"/>
        <v>228.43759570210801</v>
      </c>
    </row>
    <row r="441" spans="17:25" x14ac:dyDescent="0.15">
      <c r="Q441">
        <f t="shared" si="111"/>
        <v>250</v>
      </c>
      <c r="R441" s="166">
        <v>11</v>
      </c>
      <c r="S441" s="1">
        <f>$U$428*$C$24</f>
        <v>714.57944587212546</v>
      </c>
      <c r="T441" s="167">
        <f>$U$428*(100%-$C$24)</f>
        <v>79.397716208013918</v>
      </c>
      <c r="U441" s="168">
        <f t="shared" si="112"/>
        <v>1.44551382167378</v>
      </c>
      <c r="V441" s="169">
        <f t="shared" si="110"/>
        <v>114.33271133954008</v>
      </c>
      <c r="W441" s="186">
        <f t="shared" si="108"/>
        <v>114.77049618801642</v>
      </c>
      <c r="X441" s="170">
        <f t="shared" si="109"/>
        <v>229.10320752755649</v>
      </c>
    </row>
    <row r="442" spans="17:25" x14ac:dyDescent="0.15">
      <c r="Q442">
        <f t="shared" si="111"/>
        <v>251</v>
      </c>
      <c r="R442" s="166">
        <v>12</v>
      </c>
      <c r="S442" s="1">
        <f>$U$428*$C$24</f>
        <v>714.57944587212546</v>
      </c>
      <c r="T442" s="167">
        <f>$U$428*(100%-$C$24)</f>
        <v>79.397716208013918</v>
      </c>
      <c r="U442" s="168">
        <f t="shared" si="112"/>
        <v>1.4539459856335399</v>
      </c>
      <c r="V442" s="169">
        <f t="shared" si="110"/>
        <v>114.33271133954008</v>
      </c>
      <c r="W442" s="186">
        <f t="shared" si="108"/>
        <v>115.43999074911288</v>
      </c>
      <c r="X442" s="170">
        <f t="shared" si="109"/>
        <v>229.77270208865298</v>
      </c>
    </row>
    <row r="443" spans="17:25" ht="16" x14ac:dyDescent="0.3">
      <c r="S443" s="118">
        <f>IF($C$17&gt;=S428,SUM(S431:S442),"")</f>
        <v>8574.9533504655064</v>
      </c>
      <c r="T443" s="119">
        <f>IF($C$17&gt;=S428,SUM(T431:T442),"")</f>
        <v>952.77259449616679</v>
      </c>
      <c r="U443" s="108">
        <f>IF(Y444="",0,AVERAGE(U431:U442))</f>
        <v>1.4084540360481208</v>
      </c>
      <c r="V443" s="120">
        <f>IF($C$17&gt;=S428,SUM(V431:V442),"")</f>
        <v>1371.992536074481</v>
      </c>
      <c r="W443" s="121">
        <f>IF($C$17&gt;=S428,SUM(W431:W442),"")</f>
        <v>1341.936406154166</v>
      </c>
      <c r="X443" s="121">
        <f>IF($C$17&gt;=S428,SUM(X431:X442),"")</f>
        <v>2713.9289422286465</v>
      </c>
    </row>
    <row r="444" spans="17:25" x14ac:dyDescent="0.15">
      <c r="W444" s="222" t="s">
        <v>53</v>
      </c>
      <c r="X444" s="117">
        <f>IF(AND($D$36="Yes",$D$38+1=S428,$C$17&gt;=S428),$B$38,0)</f>
        <v>0</v>
      </c>
      <c r="Y444" s="142">
        <f>IF(X443="",0,IF(AND($C$41="No",$D$36="No"),X443,IF(AND($C$41="Yes",$D$36="Yes"),(X443-X444)-($D$9+$B$38)*$E$41,IF(AND($C$41="Yes",$D$36="No"),X443-($D$9*$E$41),IF(AND($C$41="No",$D$36="Yes"),X443-X444,X443)))))</f>
        <v>2713.9289422286465</v>
      </c>
    </row>
    <row r="445" spans="17:25" ht="14" thickBot="1" x14ac:dyDescent="0.2">
      <c r="Y445" s="245" t="s">
        <v>85</v>
      </c>
    </row>
    <row r="446" spans="17:25" ht="17" thickBot="1" x14ac:dyDescent="0.25">
      <c r="R446" s="126" t="s">
        <v>48</v>
      </c>
      <c r="S446" s="127">
        <v>22</v>
      </c>
      <c r="T446" s="154" t="s">
        <v>66</v>
      </c>
      <c r="U446" s="143">
        <f>U428-($C$34*U428)</f>
        <v>791.59523059389892</v>
      </c>
      <c r="V446" s="155" t="s">
        <v>68</v>
      </c>
      <c r="W446" s="185">
        <f>ROUND($C$22/12,15)</f>
        <v>5.8333333333329997E-3</v>
      </c>
      <c r="X446" s="261">
        <f>IF(X461="",0,Y429/POWER($C$34+1,1)/POWER($E$41+1,S446))</f>
        <v>4943.6375285874165</v>
      </c>
      <c r="Y446" s="246">
        <f>U446*12</f>
        <v>9499.1427671267866</v>
      </c>
    </row>
    <row r="447" spans="17:25" x14ac:dyDescent="0.15">
      <c r="U447" s="183" t="s">
        <v>76</v>
      </c>
      <c r="V447" s="166">
        <f>IF(S446&lt;=$C$29,$C$26,IF(AND(S446&gt;$C$29,$B$32="Yes"),AVERAGE(U449:U460),$D$32))</f>
        <v>0.16</v>
      </c>
      <c r="Y447" s="250">
        <f>IF(X446&gt;0,($D$12)/POWER($C$34+1,S446),0)</f>
        <v>9472.5207206984342</v>
      </c>
    </row>
    <row r="448" spans="17:25" x14ac:dyDescent="0.15">
      <c r="R448" s="122" t="s">
        <v>70</v>
      </c>
      <c r="S448" s="124">
        <f>$C$24</f>
        <v>0.9</v>
      </c>
      <c r="T448" s="125">
        <f>100%-$S$88</f>
        <v>9.9999999999999978E-2</v>
      </c>
      <c r="U448" s="112" t="s">
        <v>72</v>
      </c>
      <c r="V448" s="115" t="s">
        <v>71</v>
      </c>
      <c r="W448" s="115" t="s">
        <v>67</v>
      </c>
      <c r="X448" s="116" t="s">
        <v>69</v>
      </c>
    </row>
    <row r="449" spans="17:25" x14ac:dyDescent="0.15">
      <c r="Q449">
        <f>Q442+1</f>
        <v>252</v>
      </c>
      <c r="R449" s="166">
        <v>1</v>
      </c>
      <c r="S449" s="1">
        <f>$U$446*$C$24</f>
        <v>712.43570753450899</v>
      </c>
      <c r="T449" s="167">
        <f>$U$446*(100%-$C$24)</f>
        <v>79.159523059389869</v>
      </c>
      <c r="U449" s="168">
        <f>ROUND(U442*(1+$W$446),60)</f>
        <v>1.4624273372164001</v>
      </c>
      <c r="V449" s="169">
        <f>S449*$V$447</f>
        <v>113.98971320552144</v>
      </c>
      <c r="W449" s="186">
        <f t="shared" ref="W449:W460" si="113">T449*U449</f>
        <v>115.76505052306375</v>
      </c>
      <c r="X449" s="170">
        <f t="shared" ref="X449:X460" si="114">W449+V449</f>
        <v>229.7547637285852</v>
      </c>
    </row>
    <row r="450" spans="17:25" x14ac:dyDescent="0.15">
      <c r="Q450">
        <f>Q449+1</f>
        <v>253</v>
      </c>
      <c r="R450" s="166">
        <v>2</v>
      </c>
      <c r="S450" s="1">
        <f>$U$446*$C$24</f>
        <v>712.43570753450899</v>
      </c>
      <c r="T450" s="167">
        <f>$U$446*(100%-$C$24)</f>
        <v>79.159523059389869</v>
      </c>
      <c r="U450" s="168">
        <f>ROUND(U449*(1+$W$446),60)</f>
        <v>1.4709581633501601</v>
      </c>
      <c r="V450" s="169">
        <f t="shared" ref="V450:V460" si="115">S450*$V$447</f>
        <v>113.98971320552144</v>
      </c>
      <c r="W450" s="186">
        <f t="shared" si="113"/>
        <v>116.44034665111477</v>
      </c>
      <c r="X450" s="170">
        <f t="shared" si="114"/>
        <v>230.43005985663621</v>
      </c>
    </row>
    <row r="451" spans="17:25" x14ac:dyDescent="0.15">
      <c r="Q451">
        <f t="shared" ref="Q451:Q460" si="116">Q450+1</f>
        <v>254</v>
      </c>
      <c r="R451" s="166">
        <v>3</v>
      </c>
      <c r="S451" s="1">
        <f>$U$446*$C$24</f>
        <v>712.43570753450899</v>
      </c>
      <c r="T451" s="167">
        <f>$U$446*(100%-$C$24)</f>
        <v>79.159523059389869</v>
      </c>
      <c r="U451" s="168">
        <f t="shared" ref="U451:U460" si="117">ROUND(U450*(1+$W$446),60)</f>
        <v>1.4795387526363699</v>
      </c>
      <c r="V451" s="169">
        <f t="shared" si="115"/>
        <v>113.98971320552144</v>
      </c>
      <c r="W451" s="186">
        <f t="shared" si="113"/>
        <v>117.11958200657965</v>
      </c>
      <c r="X451" s="170">
        <f t="shared" si="114"/>
        <v>231.10929521210107</v>
      </c>
    </row>
    <row r="452" spans="17:25" x14ac:dyDescent="0.15">
      <c r="Q452">
        <f t="shared" si="116"/>
        <v>255</v>
      </c>
      <c r="R452" s="166">
        <v>4</v>
      </c>
      <c r="S452" s="1">
        <f>$U$446*$C$24</f>
        <v>712.43570753450899</v>
      </c>
      <c r="T452" s="167">
        <f>$U$446*(100%-$C$24)</f>
        <v>79.159523059389869</v>
      </c>
      <c r="U452" s="168">
        <f t="shared" si="117"/>
        <v>1.4881693953600801</v>
      </c>
      <c r="V452" s="169">
        <f t="shared" si="115"/>
        <v>113.98971320552144</v>
      </c>
      <c r="W452" s="186">
        <f t="shared" si="113"/>
        <v>117.80277956828454</v>
      </c>
      <c r="X452" s="170">
        <f t="shared" si="114"/>
        <v>231.79249277380598</v>
      </c>
    </row>
    <row r="453" spans="17:25" x14ac:dyDescent="0.15">
      <c r="Q453">
        <f t="shared" si="116"/>
        <v>256</v>
      </c>
      <c r="R453" s="166">
        <v>5</v>
      </c>
      <c r="S453" s="1">
        <f>$U$446*$C$24</f>
        <v>712.43570753450899</v>
      </c>
      <c r="T453" s="167">
        <f>$U$446*(100%-$C$24)</f>
        <v>79.159523059389869</v>
      </c>
      <c r="U453" s="168">
        <f t="shared" si="117"/>
        <v>1.49685038349968</v>
      </c>
      <c r="V453" s="169">
        <f t="shared" si="115"/>
        <v>113.98971320552144</v>
      </c>
      <c r="W453" s="186">
        <f t="shared" si="113"/>
        <v>118.48996244909949</v>
      </c>
      <c r="X453" s="170">
        <f t="shared" si="114"/>
        <v>232.47967565462093</v>
      </c>
    </row>
    <row r="454" spans="17:25" x14ac:dyDescent="0.15">
      <c r="Q454">
        <f t="shared" si="116"/>
        <v>257</v>
      </c>
      <c r="R454" s="166">
        <v>6</v>
      </c>
      <c r="S454" s="1">
        <f>$U$446*$C$24</f>
        <v>712.43570753450899</v>
      </c>
      <c r="T454" s="167">
        <f>$U$446*(100%-$C$24)</f>
        <v>79.159523059389869</v>
      </c>
      <c r="U454" s="168">
        <f t="shared" si="117"/>
        <v>1.5055820107367599</v>
      </c>
      <c r="V454" s="169">
        <f t="shared" si="115"/>
        <v>113.98971320552144</v>
      </c>
      <c r="W454" s="186">
        <f t="shared" si="113"/>
        <v>119.18115389671911</v>
      </c>
      <c r="X454" s="170">
        <f t="shared" si="114"/>
        <v>233.17086710224055</v>
      </c>
    </row>
    <row r="455" spans="17:25" x14ac:dyDescent="0.15">
      <c r="Q455">
        <f t="shared" si="116"/>
        <v>258</v>
      </c>
      <c r="R455" s="166">
        <v>7</v>
      </c>
      <c r="S455" s="1">
        <f>$U$446*$C$24</f>
        <v>712.43570753450899</v>
      </c>
      <c r="T455" s="167">
        <f>$U$446*(100%-$C$24)</f>
        <v>79.159523059389869</v>
      </c>
      <c r="U455" s="168">
        <f t="shared" si="117"/>
        <v>1.5143645724660599</v>
      </c>
      <c r="V455" s="169">
        <f t="shared" si="115"/>
        <v>113.98971320552144</v>
      </c>
      <c r="W455" s="186">
        <f t="shared" si="113"/>
        <v>119.87637729445015</v>
      </c>
      <c r="X455" s="170">
        <f t="shared" si="114"/>
        <v>233.86609049997159</v>
      </c>
    </row>
    <row r="456" spans="17:25" x14ac:dyDescent="0.15">
      <c r="Q456">
        <f t="shared" si="116"/>
        <v>259</v>
      </c>
      <c r="R456" s="166">
        <v>8</v>
      </c>
      <c r="S456" s="1">
        <f>$U$446*$C$24</f>
        <v>712.43570753450899</v>
      </c>
      <c r="T456" s="167">
        <f>$U$446*(100%-$C$24)</f>
        <v>79.159523059389869</v>
      </c>
      <c r="U456" s="168">
        <f t="shared" si="117"/>
        <v>1.52319836580544</v>
      </c>
      <c r="V456" s="169">
        <f t="shared" si="115"/>
        <v>113.98971320552144</v>
      </c>
      <c r="W456" s="186">
        <f t="shared" si="113"/>
        <v>120.5756561620007</v>
      </c>
      <c r="X456" s="170">
        <f t="shared" si="114"/>
        <v>234.56536936752212</v>
      </c>
    </row>
    <row r="457" spans="17:25" x14ac:dyDescent="0.15">
      <c r="Q457">
        <f t="shared" si="116"/>
        <v>260</v>
      </c>
      <c r="R457" s="166">
        <v>9</v>
      </c>
      <c r="S457" s="1">
        <f>$U$446*$C$24</f>
        <v>712.43570753450899</v>
      </c>
      <c r="T457" s="167">
        <f>$U$446*(100%-$C$24)</f>
        <v>79.159523059389869</v>
      </c>
      <c r="U457" s="168">
        <f t="shared" si="117"/>
        <v>1.53208368960597</v>
      </c>
      <c r="V457" s="169">
        <f t="shared" si="115"/>
        <v>113.98971320552144</v>
      </c>
      <c r="W457" s="186">
        <f t="shared" si="113"/>
        <v>121.27901415627889</v>
      </c>
      <c r="X457" s="170">
        <f t="shared" si="114"/>
        <v>235.26872736180033</v>
      </c>
    </row>
    <row r="458" spans="17:25" x14ac:dyDescent="0.15">
      <c r="Q458">
        <f t="shared" si="116"/>
        <v>261</v>
      </c>
      <c r="R458" s="166">
        <v>10</v>
      </c>
      <c r="S458" s="1">
        <f>$U$446*$C$24</f>
        <v>712.43570753450899</v>
      </c>
      <c r="T458" s="167">
        <f>$U$446*(100%-$C$24)</f>
        <v>79.159523059389869</v>
      </c>
      <c r="U458" s="168">
        <f t="shared" si="117"/>
        <v>1.5410208444619999</v>
      </c>
      <c r="V458" s="169">
        <f t="shared" si="115"/>
        <v>113.98971320552144</v>
      </c>
      <c r="W458" s="186">
        <f t="shared" si="113"/>
        <v>121.98647507219013</v>
      </c>
      <c r="X458" s="170">
        <f t="shared" si="114"/>
        <v>235.97618827771157</v>
      </c>
    </row>
    <row r="459" spans="17:25" x14ac:dyDescent="0.15">
      <c r="Q459">
        <f t="shared" si="116"/>
        <v>262</v>
      </c>
      <c r="R459" s="166">
        <v>11</v>
      </c>
      <c r="S459" s="1">
        <f>$U$446*$C$24</f>
        <v>712.43570753450899</v>
      </c>
      <c r="T459" s="167">
        <f>$U$446*(100%-$C$24)</f>
        <v>79.159523059389869</v>
      </c>
      <c r="U459" s="168">
        <f t="shared" si="117"/>
        <v>1.55001013272136</v>
      </c>
      <c r="V459" s="169">
        <f t="shared" si="115"/>
        <v>113.98971320552144</v>
      </c>
      <c r="W459" s="186">
        <f t="shared" si="113"/>
        <v>122.69806284344445</v>
      </c>
      <c r="X459" s="170">
        <f t="shared" si="114"/>
        <v>236.68777604896587</v>
      </c>
    </row>
    <row r="460" spans="17:25" x14ac:dyDescent="0.15">
      <c r="Q460">
        <f t="shared" si="116"/>
        <v>263</v>
      </c>
      <c r="R460" s="166">
        <v>12</v>
      </c>
      <c r="S460" s="1">
        <f>$U$446*$C$24</f>
        <v>712.43570753450899</v>
      </c>
      <c r="T460" s="167">
        <f>$U$446*(100%-$C$24)</f>
        <v>79.159523059389869</v>
      </c>
      <c r="U460" s="168">
        <f t="shared" si="117"/>
        <v>1.5590518584955699</v>
      </c>
      <c r="V460" s="169">
        <f t="shared" si="115"/>
        <v>113.98971320552144</v>
      </c>
      <c r="W460" s="186">
        <f t="shared" si="113"/>
        <v>123.4138015433647</v>
      </c>
      <c r="X460" s="170">
        <f t="shared" si="114"/>
        <v>237.40351474888615</v>
      </c>
    </row>
    <row r="461" spans="17:25" ht="16" x14ac:dyDescent="0.3">
      <c r="S461" s="118">
        <f>IF($C$17&gt;=S446,SUM(S449:S460),"")</f>
        <v>8549.228490414107</v>
      </c>
      <c r="T461" s="119">
        <f>IF($C$17&gt;=S446,SUM(T449:T460),"")</f>
        <v>949.9142767126782</v>
      </c>
      <c r="U461" s="108">
        <f>IF(Y462="",0,AVERAGE(U449:U460))</f>
        <v>1.5102712921963211</v>
      </c>
      <c r="V461" s="120">
        <f>IF($C$17&gt;=S446,SUM(V449:V460),"")</f>
        <v>1367.8765584662572</v>
      </c>
      <c r="W461" s="121">
        <f>IF($C$17&gt;=S446,SUM(W449:W460),"")</f>
        <v>1434.6282621665905</v>
      </c>
      <c r="X461" s="121">
        <f>IF($C$17&gt;=S446,SUM(X449:X460),"")</f>
        <v>2802.5048206328479</v>
      </c>
    </row>
    <row r="462" spans="17:25" x14ac:dyDescent="0.15">
      <c r="W462" s="222" t="s">
        <v>53</v>
      </c>
      <c r="X462" s="117">
        <f>IF(AND($D$36="Yes",$D$38+1=S446,$C$17&gt;=S446),$B$38,0)</f>
        <v>0</v>
      </c>
      <c r="Y462" s="142">
        <f>IF(X461="",0,IF(AND($C$41="No",$D$36="No"),X461,IF(AND($C$41="Yes",$D$36="Yes"),(X461-X462)-($D$9+$B$38)*$E$41,IF(AND($C$41="Yes",$D$36="No"),X461-($D$9*$E$41),IF(AND($C$41="No",$D$36="Yes"),X461-X462,X461)))))</f>
        <v>2802.5048206328479</v>
      </c>
    </row>
    <row r="463" spans="17:25" ht="14" thickBot="1" x14ac:dyDescent="0.2">
      <c r="Y463" s="245" t="s">
        <v>85</v>
      </c>
    </row>
    <row r="464" spans="17:25" ht="17" thickBot="1" x14ac:dyDescent="0.25">
      <c r="R464" s="126" t="s">
        <v>48</v>
      </c>
      <c r="S464" s="127">
        <v>23</v>
      </c>
      <c r="T464" s="154" t="s">
        <v>66</v>
      </c>
      <c r="U464" s="143">
        <f>U446-($C$34*U446)</f>
        <v>789.22044490211726</v>
      </c>
      <c r="V464" s="155" t="s">
        <v>68</v>
      </c>
      <c r="W464" s="185">
        <f>ROUND($C$22/12,15)</f>
        <v>5.8333333333329997E-3</v>
      </c>
      <c r="X464" s="261">
        <f>IF(X479="",0,Y447/POWER($C$34+1,1)/POWER($E$41+1,S464))</f>
        <v>4785.2922093790639</v>
      </c>
      <c r="Y464" s="246">
        <f>U464*12</f>
        <v>9470.6453388254067</v>
      </c>
    </row>
    <row r="465" spans="17:25" x14ac:dyDescent="0.15">
      <c r="U465" s="183" t="s">
        <v>76</v>
      </c>
      <c r="V465" s="166">
        <f>IF(S464&lt;=$C$29,$C$26,IF(AND(S464&gt;$C$29,$B$32="Yes"),AVERAGE(U467:U478),$D$32))</f>
        <v>0.16</v>
      </c>
      <c r="Y465" s="250">
        <f>IF(X464&gt;0,($D$12)/POWER($C$34+1,S464),0)</f>
        <v>9444.1881562297476</v>
      </c>
    </row>
    <row r="466" spans="17:25" x14ac:dyDescent="0.15">
      <c r="R466" s="122" t="s">
        <v>70</v>
      </c>
      <c r="S466" s="124">
        <f>$C$24</f>
        <v>0.9</v>
      </c>
      <c r="T466" s="125">
        <f>100%-$S$88</f>
        <v>9.9999999999999978E-2</v>
      </c>
      <c r="U466" s="112" t="s">
        <v>72</v>
      </c>
      <c r="V466" s="115" t="s">
        <v>71</v>
      </c>
      <c r="W466" s="115" t="s">
        <v>67</v>
      </c>
      <c r="X466" s="116" t="s">
        <v>69</v>
      </c>
    </row>
    <row r="467" spans="17:25" x14ac:dyDescent="0.15">
      <c r="Q467">
        <f>Q460+1</f>
        <v>264</v>
      </c>
      <c r="R467" s="166">
        <v>1</v>
      </c>
      <c r="S467" s="1">
        <f>$U$464*$C$24</f>
        <v>710.2984004119055</v>
      </c>
      <c r="T467" s="167">
        <f>$U$464*(100%-$C$24)</f>
        <v>78.922044490211704</v>
      </c>
      <c r="U467" s="168">
        <f>ROUND(U460*(1+$W$464),60)</f>
        <v>1.56814632767013</v>
      </c>
      <c r="V467" s="169">
        <f>S467*$V$465</f>
        <v>113.64774406590489</v>
      </c>
      <c r="W467" s="186">
        <f t="shared" ref="W467:W478" si="118">T467*U467</f>
        <v>123.76131423954409</v>
      </c>
      <c r="X467" s="170">
        <f t="shared" ref="X467:X478" si="119">W467+V467</f>
        <v>237.40905830544898</v>
      </c>
    </row>
    <row r="468" spans="17:25" x14ac:dyDescent="0.15">
      <c r="Q468">
        <f>Q467+1</f>
        <v>265</v>
      </c>
      <c r="R468" s="166">
        <v>2</v>
      </c>
      <c r="S468" s="1">
        <f>$U$464*$C$24</f>
        <v>710.2984004119055</v>
      </c>
      <c r="T468" s="167">
        <f>$U$464*(100%-$C$24)</f>
        <v>78.922044490211704</v>
      </c>
      <c r="U468" s="168">
        <f>ROUND(U467*(1+$W$464),60)</f>
        <v>1.5772938479148699</v>
      </c>
      <c r="V468" s="169">
        <f t="shared" ref="V468:V478" si="120">S468*$V$465</f>
        <v>113.64774406590489</v>
      </c>
      <c r="W468" s="186">
        <f t="shared" si="118"/>
        <v>124.48325523927458</v>
      </c>
      <c r="X468" s="170">
        <f t="shared" si="119"/>
        <v>238.13099930517947</v>
      </c>
    </row>
    <row r="469" spans="17:25" x14ac:dyDescent="0.15">
      <c r="Q469">
        <f t="shared" ref="Q469:Q478" si="121">Q468+1</f>
        <v>266</v>
      </c>
      <c r="R469" s="166">
        <v>3</v>
      </c>
      <c r="S469" s="1">
        <f>$U$464*$C$24</f>
        <v>710.2984004119055</v>
      </c>
      <c r="T469" s="167">
        <f>$U$464*(100%-$C$24)</f>
        <v>78.922044490211704</v>
      </c>
      <c r="U469" s="168">
        <f t="shared" ref="U469:U478" si="122">ROUND(U468*(1+$W$464),60)</f>
        <v>1.58649472869437</v>
      </c>
      <c r="V469" s="169">
        <f t="shared" si="120"/>
        <v>113.64774406590489</v>
      </c>
      <c r="W469" s="186">
        <f t="shared" si="118"/>
        <v>125.20940756150341</v>
      </c>
      <c r="X469" s="170">
        <f t="shared" si="119"/>
        <v>238.85715162740831</v>
      </c>
    </row>
    <row r="470" spans="17:25" x14ac:dyDescent="0.15">
      <c r="Q470">
        <f t="shared" si="121"/>
        <v>267</v>
      </c>
      <c r="R470" s="166">
        <v>4</v>
      </c>
      <c r="S470" s="1">
        <f>$U$464*$C$24</f>
        <v>710.2984004119055</v>
      </c>
      <c r="T470" s="167">
        <f>$U$464*(100%-$C$24)</f>
        <v>78.922044490211704</v>
      </c>
      <c r="U470" s="168">
        <f t="shared" si="122"/>
        <v>1.59574928127842</v>
      </c>
      <c r="V470" s="169">
        <f t="shared" si="120"/>
        <v>113.64774406590489</v>
      </c>
      <c r="W470" s="186">
        <f t="shared" si="118"/>
        <v>125.93979577227881</v>
      </c>
      <c r="X470" s="170">
        <f t="shared" si="119"/>
        <v>239.58753983818372</v>
      </c>
    </row>
    <row r="471" spans="17:25" x14ac:dyDescent="0.15">
      <c r="Q471">
        <f t="shared" si="121"/>
        <v>268</v>
      </c>
      <c r="R471" s="166">
        <v>5</v>
      </c>
      <c r="S471" s="1">
        <f>$U$464*$C$24</f>
        <v>710.2984004119055</v>
      </c>
      <c r="T471" s="167">
        <f>$U$464*(100%-$C$24)</f>
        <v>78.922044490211704</v>
      </c>
      <c r="U471" s="168">
        <f t="shared" si="122"/>
        <v>1.6050578187525399</v>
      </c>
      <c r="V471" s="169">
        <f t="shared" si="120"/>
        <v>113.64774406590489</v>
      </c>
      <c r="W471" s="186">
        <f t="shared" si="118"/>
        <v>126.67444458095011</v>
      </c>
      <c r="X471" s="170">
        <f t="shared" si="119"/>
        <v>240.32218864685501</v>
      </c>
    </row>
    <row r="472" spans="17:25" x14ac:dyDescent="0.15">
      <c r="Q472">
        <f t="shared" si="121"/>
        <v>269</v>
      </c>
      <c r="R472" s="166">
        <v>6</v>
      </c>
      <c r="S472" s="1">
        <f>$U$464*$C$24</f>
        <v>710.2984004119055</v>
      </c>
      <c r="T472" s="167">
        <f>$U$464*(100%-$C$24)</f>
        <v>78.922044490211704</v>
      </c>
      <c r="U472" s="168">
        <f t="shared" si="122"/>
        <v>1.6144206560286001</v>
      </c>
      <c r="V472" s="169">
        <f t="shared" si="120"/>
        <v>113.64774406590489</v>
      </c>
      <c r="W472" s="186">
        <f t="shared" si="118"/>
        <v>127.41337884100594</v>
      </c>
      <c r="X472" s="170">
        <f t="shared" si="119"/>
        <v>241.06112290691084</v>
      </c>
    </row>
    <row r="473" spans="17:25" x14ac:dyDescent="0.15">
      <c r="Q473">
        <f t="shared" si="121"/>
        <v>270</v>
      </c>
      <c r="R473" s="166">
        <v>7</v>
      </c>
      <c r="S473" s="1">
        <f>$U$464*$C$24</f>
        <v>710.2984004119055</v>
      </c>
      <c r="T473" s="167">
        <f>$U$464*(100%-$C$24)</f>
        <v>78.922044490211704</v>
      </c>
      <c r="U473" s="168">
        <f t="shared" si="122"/>
        <v>1.62383810985543</v>
      </c>
      <c r="V473" s="169">
        <f t="shared" si="120"/>
        <v>113.64774406590489</v>
      </c>
      <c r="W473" s="186">
        <f t="shared" si="118"/>
        <v>128.15662355091152</v>
      </c>
      <c r="X473" s="170">
        <f t="shared" si="119"/>
        <v>241.80436761681642</v>
      </c>
    </row>
    <row r="474" spans="17:25" x14ac:dyDescent="0.15">
      <c r="Q474">
        <f t="shared" si="121"/>
        <v>271</v>
      </c>
      <c r="R474" s="166">
        <v>8</v>
      </c>
      <c r="S474" s="1">
        <f>$U$464*$C$24</f>
        <v>710.2984004119055</v>
      </c>
      <c r="T474" s="167">
        <f>$U$464*(100%-$C$24)</f>
        <v>78.922044490211704</v>
      </c>
      <c r="U474" s="168">
        <f t="shared" si="122"/>
        <v>1.6333104988295899</v>
      </c>
      <c r="V474" s="169">
        <f t="shared" si="120"/>
        <v>113.64774406590489</v>
      </c>
      <c r="W474" s="186">
        <f t="shared" si="118"/>
        <v>128.90420385495875</v>
      </c>
      <c r="X474" s="170">
        <f t="shared" si="119"/>
        <v>242.55194792086365</v>
      </c>
    </row>
    <row r="475" spans="17:25" x14ac:dyDescent="0.15">
      <c r="Q475">
        <f t="shared" si="121"/>
        <v>272</v>
      </c>
      <c r="R475" s="166">
        <v>9</v>
      </c>
      <c r="S475" s="1">
        <f>$U$464*$C$24</f>
        <v>710.2984004119055</v>
      </c>
      <c r="T475" s="167">
        <f>$U$464*(100%-$C$24)</f>
        <v>78.922044490211704</v>
      </c>
      <c r="U475" s="168">
        <f t="shared" si="122"/>
        <v>1.6428381434060999</v>
      </c>
      <c r="V475" s="169">
        <f t="shared" si="120"/>
        <v>113.64774406590489</v>
      </c>
      <c r="W475" s="186">
        <f t="shared" si="118"/>
        <v>129.656145044113</v>
      </c>
      <c r="X475" s="170">
        <f t="shared" si="119"/>
        <v>243.30388911001791</v>
      </c>
    </row>
    <row r="476" spans="17:25" x14ac:dyDescent="0.15">
      <c r="Q476">
        <f t="shared" si="121"/>
        <v>273</v>
      </c>
      <c r="R476" s="166">
        <v>10</v>
      </c>
      <c r="S476" s="1">
        <f>$U$464*$C$24</f>
        <v>710.2984004119055</v>
      </c>
      <c r="T476" s="167">
        <f>$U$464*(100%-$C$24)</f>
        <v>78.922044490211704</v>
      </c>
      <c r="U476" s="168">
        <f t="shared" si="122"/>
        <v>1.6524213659093001</v>
      </c>
      <c r="V476" s="169">
        <f t="shared" si="120"/>
        <v>113.64774406590489</v>
      </c>
      <c r="W476" s="186">
        <f t="shared" si="118"/>
        <v>130.41247255687017</v>
      </c>
      <c r="X476" s="170">
        <f t="shared" si="119"/>
        <v>244.06021662277504</v>
      </c>
    </row>
    <row r="477" spans="17:25" x14ac:dyDescent="0.15">
      <c r="Q477">
        <f t="shared" si="121"/>
        <v>274</v>
      </c>
      <c r="R477" s="166">
        <v>11</v>
      </c>
      <c r="S477" s="1">
        <f>$U$464*$C$24</f>
        <v>710.2984004119055</v>
      </c>
      <c r="T477" s="167">
        <f>$U$464*(100%-$C$24)</f>
        <v>78.922044490211704</v>
      </c>
      <c r="U477" s="168">
        <f t="shared" si="122"/>
        <v>1.6620604905437699</v>
      </c>
      <c r="V477" s="169">
        <f t="shared" si="120"/>
        <v>113.64774406590489</v>
      </c>
      <c r="W477" s="186">
        <f t="shared" si="118"/>
        <v>131.17321198011851</v>
      </c>
      <c r="X477" s="170">
        <f t="shared" si="119"/>
        <v>244.82095604602341</v>
      </c>
    </row>
    <row r="478" spans="17:25" x14ac:dyDescent="0.15">
      <c r="Q478">
        <f t="shared" si="121"/>
        <v>275</v>
      </c>
      <c r="R478" s="166">
        <v>12</v>
      </c>
      <c r="S478" s="1">
        <f>$U$464*$C$24</f>
        <v>710.2984004119055</v>
      </c>
      <c r="T478" s="167">
        <f>$U$464*(100%-$C$24)</f>
        <v>78.922044490211704</v>
      </c>
      <c r="U478" s="168">
        <f t="shared" si="122"/>
        <v>1.6717558434052699</v>
      </c>
      <c r="V478" s="169">
        <f t="shared" si="120"/>
        <v>113.64774406590489</v>
      </c>
      <c r="W478" s="186">
        <f t="shared" si="118"/>
        <v>131.93838905000212</v>
      </c>
      <c r="X478" s="170">
        <f t="shared" si="119"/>
        <v>245.58613311590699</v>
      </c>
    </row>
    <row r="479" spans="17:25" ht="16" x14ac:dyDescent="0.3">
      <c r="S479" s="118">
        <f>IF($C$17&gt;=S464,SUM(S467:S478),"")</f>
        <v>8523.5808049428651</v>
      </c>
      <c r="T479" s="119">
        <f>IF($C$17&gt;=S464,SUM(T467:T478),"")</f>
        <v>947.06453388254022</v>
      </c>
      <c r="U479" s="108">
        <f>IF(Y480="",0,AVERAGE(U467:U478))</f>
        <v>1.6194489260240321</v>
      </c>
      <c r="V479" s="120">
        <f>IF($C$17&gt;=S464,SUM(V467:V478),"")</f>
        <v>1363.7729287908587</v>
      </c>
      <c r="W479" s="121">
        <f>IF($C$17&gt;=S464,SUM(W467:W478),"")</f>
        <v>1533.722642271531</v>
      </c>
      <c r="X479" s="121">
        <f>IF($C$17&gt;=S464,SUM(X467:X478),"")</f>
        <v>2897.4955710623894</v>
      </c>
    </row>
    <row r="480" spans="17:25" x14ac:dyDescent="0.15">
      <c r="W480" s="222" t="s">
        <v>53</v>
      </c>
      <c r="X480" s="117">
        <f>IF(AND($D$36="Yes",$D$38+1=S464,$C$17&gt;=S464),$B$38,0)</f>
        <v>0</v>
      </c>
      <c r="Y480" s="142">
        <f>IF(X479="",0,IF(AND($C$41="No",$D$36="No"),X479,IF(AND($C$41="Yes",$D$36="Yes"),(X479-X480)-($D$9+$B$38)*$E$41,IF(AND($C$41="Yes",$D$36="No"),X479-($D$9*$E$41),IF(AND($C$41="No",$D$36="Yes"),X479-X480,X479)))))</f>
        <v>2897.4955710623894</v>
      </c>
    </row>
    <row r="481" spans="17:25" ht="14" thickBot="1" x14ac:dyDescent="0.2">
      <c r="Y481" s="245" t="s">
        <v>85</v>
      </c>
    </row>
    <row r="482" spans="17:25" ht="17" thickBot="1" x14ac:dyDescent="0.25">
      <c r="R482" s="126" t="s">
        <v>48</v>
      </c>
      <c r="S482" s="127">
        <v>24</v>
      </c>
      <c r="T482" s="154" t="s">
        <v>66</v>
      </c>
      <c r="U482" s="143">
        <f>U464-($C$34*U464)</f>
        <v>786.85278356741094</v>
      </c>
      <c r="V482" s="155" t="s">
        <v>68</v>
      </c>
      <c r="W482" s="185">
        <f>ROUND($C$22/12,15)</f>
        <v>5.8333333333329997E-3</v>
      </c>
      <c r="X482" s="261">
        <f>IF(X497="",0,Y465/POWER($C$34+1,1)/POWER($E$41+1,S482))</f>
        <v>4632.0187102566733</v>
      </c>
      <c r="Y482" s="246">
        <f>U482*12</f>
        <v>9442.2334028089317</v>
      </c>
    </row>
    <row r="483" spans="17:25" x14ac:dyDescent="0.15">
      <c r="U483" s="183" t="s">
        <v>76</v>
      </c>
      <c r="V483" s="166">
        <f>IF(S482&lt;=$C$29,$C$26,IF(AND(S482&gt;$C$29,$B$32="Yes"),AVERAGE(U485:U496),$D$32))</f>
        <v>0.16</v>
      </c>
      <c r="Y483" s="250">
        <f>IF(X482&gt;0,($D$12)/POWER($C$34+1,S482),0)</f>
        <v>9415.9403352240752</v>
      </c>
    </row>
    <row r="484" spans="17:25" x14ac:dyDescent="0.15">
      <c r="R484" s="122" t="s">
        <v>70</v>
      </c>
      <c r="S484" s="124">
        <f>$C$24</f>
        <v>0.9</v>
      </c>
      <c r="T484" s="125">
        <f>100%-$S$88</f>
        <v>9.9999999999999978E-2</v>
      </c>
      <c r="U484" s="112" t="s">
        <v>72</v>
      </c>
      <c r="V484" s="115" t="s">
        <v>71</v>
      </c>
      <c r="W484" s="115" t="s">
        <v>67</v>
      </c>
      <c r="X484" s="116" t="s">
        <v>69</v>
      </c>
    </row>
    <row r="485" spans="17:25" x14ac:dyDescent="0.15">
      <c r="Q485">
        <f>Q478+1</f>
        <v>276</v>
      </c>
      <c r="R485" s="166">
        <v>1</v>
      </c>
      <c r="S485" s="1">
        <f>$U$482*$C$24</f>
        <v>708.1675052106699</v>
      </c>
      <c r="T485" s="167">
        <f>$U$482*(100%-$C$24)</f>
        <v>78.68527835674108</v>
      </c>
      <c r="U485" s="168">
        <f>ROUND(U478*(1+$W$482),60)</f>
        <v>1.6815077524918001</v>
      </c>
      <c r="V485" s="169">
        <f>S485*$V$483</f>
        <v>113.30680083370719</v>
      </c>
      <c r="W485" s="186">
        <f t="shared" ref="W485:W496" si="123">T485*U485</f>
        <v>132.30990556383537</v>
      </c>
      <c r="X485" s="170">
        <f t="shared" ref="X485:X496" si="124">W485+V485</f>
        <v>245.61670639754254</v>
      </c>
    </row>
    <row r="486" spans="17:25" x14ac:dyDescent="0.15">
      <c r="Q486">
        <f>Q485+1</f>
        <v>277</v>
      </c>
      <c r="R486" s="166">
        <v>2</v>
      </c>
      <c r="S486" s="1">
        <f>$U$482*$C$24</f>
        <v>708.1675052106699</v>
      </c>
      <c r="T486" s="167">
        <f>$U$482*(100%-$C$24)</f>
        <v>78.68527835674108</v>
      </c>
      <c r="U486" s="168">
        <f>ROUND(U485*(1+$W$482),60)</f>
        <v>1.6913165477146701</v>
      </c>
      <c r="V486" s="169">
        <f t="shared" ref="V486:V496" si="125">S486*$V$483</f>
        <v>113.30680083370719</v>
      </c>
      <c r="W486" s="186">
        <f t="shared" si="123"/>
        <v>133.08171334629117</v>
      </c>
      <c r="X486" s="170">
        <f t="shared" si="124"/>
        <v>246.38851417999837</v>
      </c>
    </row>
    <row r="487" spans="17:25" x14ac:dyDescent="0.15">
      <c r="Q487">
        <f t="shared" ref="Q487:Q496" si="126">Q486+1</f>
        <v>278</v>
      </c>
      <c r="R487" s="166">
        <v>3</v>
      </c>
      <c r="S487" s="1">
        <f>$U$482*$C$24</f>
        <v>708.1675052106699</v>
      </c>
      <c r="T487" s="167">
        <f>$U$482*(100%-$C$24)</f>
        <v>78.68527835674108</v>
      </c>
      <c r="U487" s="168">
        <f t="shared" ref="U487:U496" si="127">ROUND(U486*(1+$W$482),60)</f>
        <v>1.70118256090967</v>
      </c>
      <c r="V487" s="169">
        <f t="shared" si="125"/>
        <v>113.30680083370719</v>
      </c>
      <c r="W487" s="186">
        <f t="shared" si="123"/>
        <v>133.85802334081103</v>
      </c>
      <c r="X487" s="170">
        <f t="shared" si="124"/>
        <v>247.16482417451823</v>
      </c>
    </row>
    <row r="488" spans="17:25" x14ac:dyDescent="0.15">
      <c r="Q488">
        <f t="shared" si="126"/>
        <v>279</v>
      </c>
      <c r="R488" s="166">
        <v>4</v>
      </c>
      <c r="S488" s="1">
        <f>$U$482*$C$24</f>
        <v>708.1675052106699</v>
      </c>
      <c r="T488" s="167">
        <f>$U$482*(100%-$C$24)</f>
        <v>78.68527835674108</v>
      </c>
      <c r="U488" s="168">
        <f t="shared" si="127"/>
        <v>1.71110612584831</v>
      </c>
      <c r="V488" s="169">
        <f t="shared" si="125"/>
        <v>113.30680083370719</v>
      </c>
      <c r="W488" s="186">
        <f t="shared" si="123"/>
        <v>134.63886181029912</v>
      </c>
      <c r="X488" s="170">
        <f t="shared" si="124"/>
        <v>247.94566264400629</v>
      </c>
    </row>
    <row r="489" spans="17:25" x14ac:dyDescent="0.15">
      <c r="Q489">
        <f t="shared" si="126"/>
        <v>280</v>
      </c>
      <c r="R489" s="166">
        <v>5</v>
      </c>
      <c r="S489" s="1">
        <f>$U$482*$C$24</f>
        <v>708.1675052106699</v>
      </c>
      <c r="T489" s="167">
        <f>$U$482*(100%-$C$24)</f>
        <v>78.68527835674108</v>
      </c>
      <c r="U489" s="168">
        <f t="shared" si="127"/>
        <v>1.72108757824909</v>
      </c>
      <c r="V489" s="169">
        <f t="shared" si="125"/>
        <v>113.30680083370719</v>
      </c>
      <c r="W489" s="186">
        <f t="shared" si="123"/>
        <v>135.42425517085903</v>
      </c>
      <c r="X489" s="170">
        <f t="shared" si="124"/>
        <v>248.7310560045662</v>
      </c>
    </row>
    <row r="490" spans="17:25" x14ac:dyDescent="0.15">
      <c r="Q490">
        <f t="shared" si="126"/>
        <v>281</v>
      </c>
      <c r="R490" s="166">
        <v>6</v>
      </c>
      <c r="S490" s="1">
        <f>$U$482*$C$24</f>
        <v>708.1675052106699</v>
      </c>
      <c r="T490" s="167">
        <f>$U$482*(100%-$C$24)</f>
        <v>78.68527835674108</v>
      </c>
      <c r="U490" s="168">
        <f t="shared" si="127"/>
        <v>1.7311272557888799</v>
      </c>
      <c r="V490" s="169">
        <f t="shared" si="125"/>
        <v>113.30680083370719</v>
      </c>
      <c r="W490" s="186">
        <f t="shared" si="123"/>
        <v>136.21422999268933</v>
      </c>
      <c r="X490" s="170">
        <f t="shared" si="124"/>
        <v>249.5210308263965</v>
      </c>
    </row>
    <row r="491" spans="17:25" x14ac:dyDescent="0.15">
      <c r="Q491">
        <f t="shared" si="126"/>
        <v>282</v>
      </c>
      <c r="R491" s="166">
        <v>7</v>
      </c>
      <c r="S491" s="1">
        <f>$U$482*$C$24</f>
        <v>708.1675052106699</v>
      </c>
      <c r="T491" s="167">
        <f>$U$482*(100%-$C$24)</f>
        <v>78.68527835674108</v>
      </c>
      <c r="U491" s="168">
        <f t="shared" si="127"/>
        <v>1.74122549811431</v>
      </c>
      <c r="V491" s="169">
        <f t="shared" si="125"/>
        <v>113.30680083370719</v>
      </c>
      <c r="W491" s="186">
        <f t="shared" si="123"/>
        <v>137.00881300097961</v>
      </c>
      <c r="X491" s="170">
        <f t="shared" si="124"/>
        <v>250.31561383468681</v>
      </c>
    </row>
    <row r="492" spans="17:25" x14ac:dyDescent="0.15">
      <c r="Q492">
        <f t="shared" si="126"/>
        <v>283</v>
      </c>
      <c r="R492" s="166">
        <v>8</v>
      </c>
      <c r="S492" s="1">
        <f>$U$482*$C$24</f>
        <v>708.1675052106699</v>
      </c>
      <c r="T492" s="167">
        <f>$U$482*(100%-$C$24)</f>
        <v>78.68527835674108</v>
      </c>
      <c r="U492" s="168">
        <f t="shared" si="127"/>
        <v>1.75138264685331</v>
      </c>
      <c r="V492" s="169">
        <f t="shared" si="125"/>
        <v>113.30680083370719</v>
      </c>
      <c r="W492" s="186">
        <f t="shared" si="123"/>
        <v>137.80803107681865</v>
      </c>
      <c r="X492" s="170">
        <f t="shared" si="124"/>
        <v>251.11483191052582</v>
      </c>
    </row>
    <row r="493" spans="17:25" x14ac:dyDescent="0.15">
      <c r="Q493">
        <f t="shared" si="126"/>
        <v>284</v>
      </c>
      <c r="R493" s="166">
        <v>9</v>
      </c>
      <c r="S493" s="1">
        <f>$U$482*$C$24</f>
        <v>708.1675052106699</v>
      </c>
      <c r="T493" s="167">
        <f>$U$482*(100%-$C$24)</f>
        <v>78.68527835674108</v>
      </c>
      <c r="U493" s="168">
        <f t="shared" si="127"/>
        <v>1.76159904562662</v>
      </c>
      <c r="V493" s="169">
        <f t="shared" si="125"/>
        <v>113.30680083370719</v>
      </c>
      <c r="W493" s="186">
        <f t="shared" si="123"/>
        <v>138.61191125810001</v>
      </c>
      <c r="X493" s="170">
        <f t="shared" si="124"/>
        <v>251.91871209180721</v>
      </c>
    </row>
    <row r="494" spans="17:25" x14ac:dyDescent="0.15">
      <c r="Q494">
        <f t="shared" si="126"/>
        <v>285</v>
      </c>
      <c r="R494" s="166">
        <v>10</v>
      </c>
      <c r="S494" s="1">
        <f>$U$482*$C$24</f>
        <v>708.1675052106699</v>
      </c>
      <c r="T494" s="167">
        <f>$U$482*(100%-$C$24)</f>
        <v>78.68527835674108</v>
      </c>
      <c r="U494" s="168">
        <f t="shared" si="127"/>
        <v>1.7718750400594401</v>
      </c>
      <c r="V494" s="169">
        <f t="shared" si="125"/>
        <v>113.30680083370719</v>
      </c>
      <c r="W494" s="186">
        <f t="shared" si="123"/>
        <v>139.42048074043879</v>
      </c>
      <c r="X494" s="170">
        <f t="shared" si="124"/>
        <v>252.72728157414599</v>
      </c>
    </row>
    <row r="495" spans="17:25" x14ac:dyDescent="0.15">
      <c r="Q495">
        <f t="shared" si="126"/>
        <v>286</v>
      </c>
      <c r="R495" s="166">
        <v>11</v>
      </c>
      <c r="S495" s="1">
        <f>$U$482*$C$24</f>
        <v>708.1675052106699</v>
      </c>
      <c r="T495" s="167">
        <f>$U$482*(100%-$C$24)</f>
        <v>78.68527835674108</v>
      </c>
      <c r="U495" s="168">
        <f t="shared" si="127"/>
        <v>1.7822109777931201</v>
      </c>
      <c r="V495" s="169">
        <f t="shared" si="125"/>
        <v>113.30680083370719</v>
      </c>
      <c r="W495" s="186">
        <f t="shared" si="123"/>
        <v>140.23376687809136</v>
      </c>
      <c r="X495" s="170">
        <f t="shared" si="124"/>
        <v>253.54056771179853</v>
      </c>
    </row>
    <row r="496" spans="17:25" x14ac:dyDescent="0.15">
      <c r="Q496">
        <f t="shared" si="126"/>
        <v>287</v>
      </c>
      <c r="R496" s="166">
        <v>12</v>
      </c>
      <c r="S496" s="1">
        <f>$U$482*$C$24</f>
        <v>708.1675052106699</v>
      </c>
      <c r="T496" s="167">
        <f>$U$482*(100%-$C$24)</f>
        <v>78.68527835674108</v>
      </c>
      <c r="U496" s="168">
        <f t="shared" si="127"/>
        <v>1.79260720849691</v>
      </c>
      <c r="V496" s="169">
        <f t="shared" si="125"/>
        <v>113.30680083370719</v>
      </c>
      <c r="W496" s="186">
        <f t="shared" si="123"/>
        <v>141.05179718487994</v>
      </c>
      <c r="X496" s="170">
        <f t="shared" si="124"/>
        <v>254.35859801858714</v>
      </c>
    </row>
    <row r="497" spans="17:25" ht="16" x14ac:dyDescent="0.3">
      <c r="S497" s="118">
        <f>IF($C$17&gt;=S482,SUM(S485:S496),"")</f>
        <v>8498.0100625280411</v>
      </c>
      <c r="T497" s="119">
        <f>IF($C$17&gt;=S482,SUM(T485:T496),"")</f>
        <v>944.22334028089278</v>
      </c>
      <c r="U497" s="108">
        <f>IF(Y498="",0,AVERAGE(U485:U496))</f>
        <v>1.7365190198288445</v>
      </c>
      <c r="V497" s="120">
        <f>IF($C$17&gt;=S482,SUM(V485:V496),"")</f>
        <v>1359.6816100044862</v>
      </c>
      <c r="W497" s="121">
        <f>IF($C$17&gt;=S482,SUM(W485:W496),"")</f>
        <v>1639.6617893640932</v>
      </c>
      <c r="X497" s="121">
        <f>IF($C$17&gt;=S482,SUM(X485:X496),"")</f>
        <v>2999.3433993685803</v>
      </c>
    </row>
    <row r="498" spans="17:25" x14ac:dyDescent="0.15">
      <c r="W498" s="222" t="s">
        <v>53</v>
      </c>
      <c r="X498" s="117">
        <f>IF(AND($D$36="Yes",$D$38+1=S482,$C$17&gt;=S482),$B$38,0)</f>
        <v>0</v>
      </c>
      <c r="Y498" s="142">
        <f>IF(X497="",0,IF(AND($C$41="No",$D$36="No"),X497,IF(AND($C$41="Yes",$D$36="Yes"),(X497-X498)-($D$9+$B$38)*$E$41,IF(AND($C$41="Yes",$D$36="No"),X497-($D$9*$E$41),IF(AND($C$41="No",$D$36="Yes"),X497-X498,X497)))))</f>
        <v>2999.3433993685803</v>
      </c>
    </row>
    <row r="499" spans="17:25" ht="14" thickBot="1" x14ac:dyDescent="0.2">
      <c r="Y499" s="245" t="s">
        <v>85</v>
      </c>
    </row>
    <row r="500" spans="17:25" ht="17" thickBot="1" x14ac:dyDescent="0.25">
      <c r="R500" s="126" t="s">
        <v>48</v>
      </c>
      <c r="S500" s="127">
        <v>25</v>
      </c>
      <c r="T500" s="154" t="s">
        <v>66</v>
      </c>
      <c r="U500" s="143">
        <f>U482-($C$34*U482)</f>
        <v>784.49222521670868</v>
      </c>
      <c r="V500" s="155" t="s">
        <v>68</v>
      </c>
      <c r="W500" s="185">
        <f>ROUND($C$22/12,15)</f>
        <v>5.8333333333329997E-3</v>
      </c>
      <c r="X500" s="261">
        <f>IF(X515="",0,Y483/POWER($C$34+1,1)/POWER($E$41+1,S500))</f>
        <v>4483.6545801979237</v>
      </c>
      <c r="Y500" s="246">
        <f>U500*12</f>
        <v>9413.9067026005032</v>
      </c>
    </row>
    <row r="501" spans="17:25" x14ac:dyDescent="0.15">
      <c r="U501" s="183" t="s">
        <v>76</v>
      </c>
      <c r="V501" s="166">
        <f>IF(S500&lt;=$C$29,$C$26,IF(AND(S500&gt;$C$29,$B$32="Yes"),AVERAGE(U503:U514),$D$32))</f>
        <v>0.16</v>
      </c>
      <c r="Y501" s="250">
        <f>IF(X500&gt;0,($D$12)/POWER($C$34+1,S500),0)</f>
        <v>9387.7770042114425</v>
      </c>
    </row>
    <row r="502" spans="17:25" x14ac:dyDescent="0.15">
      <c r="R502" s="122" t="s">
        <v>70</v>
      </c>
      <c r="S502" s="124">
        <f>$C$24</f>
        <v>0.9</v>
      </c>
      <c r="T502" s="125">
        <f>100%-$S$88</f>
        <v>9.9999999999999978E-2</v>
      </c>
      <c r="U502" s="112" t="s">
        <v>72</v>
      </c>
      <c r="V502" s="115" t="s">
        <v>71</v>
      </c>
      <c r="W502" s="115" t="s">
        <v>67</v>
      </c>
      <c r="X502" s="116" t="s">
        <v>69</v>
      </c>
    </row>
    <row r="503" spans="17:25" x14ac:dyDescent="0.15">
      <c r="Q503">
        <f>Q496+1</f>
        <v>288</v>
      </c>
      <c r="R503" s="166">
        <v>1</v>
      </c>
      <c r="S503" s="1">
        <f>$U$500*$C$24</f>
        <v>706.04300269503779</v>
      </c>
      <c r="T503" s="167">
        <f>$U$500*(100%-$C$24)</f>
        <v>78.449222521670848</v>
      </c>
      <c r="U503" s="168">
        <f>ROUND(U496*(1+$W$500),60)</f>
        <v>1.80306408387981</v>
      </c>
      <c r="V503" s="169">
        <f>S503*$V$501</f>
        <v>112.96688043120605</v>
      </c>
      <c r="W503" s="186">
        <f t="shared" ref="W503:W514" si="128">T503*U503</f>
        <v>141.44897553711979</v>
      </c>
      <c r="X503" s="170">
        <f t="shared" ref="X503:X514" si="129">W503+V503</f>
        <v>254.41585596832584</v>
      </c>
    </row>
    <row r="504" spans="17:25" x14ac:dyDescent="0.15">
      <c r="Q504">
        <f>Q503+1</f>
        <v>289</v>
      </c>
      <c r="R504" s="166">
        <v>2</v>
      </c>
      <c r="S504" s="1">
        <f>$U$500*$C$24</f>
        <v>706.04300269503779</v>
      </c>
      <c r="T504" s="167">
        <f>$U$500*(100%-$C$24)</f>
        <v>78.449222521670848</v>
      </c>
      <c r="U504" s="168">
        <f>ROUND(U503*(1+$W$500),60)</f>
        <v>1.8135819577024399</v>
      </c>
      <c r="V504" s="169">
        <f t="shared" ref="V504:V514" si="130">S504*$V$501</f>
        <v>112.96688043120605</v>
      </c>
      <c r="W504" s="186">
        <f t="shared" si="128"/>
        <v>142.27409456108614</v>
      </c>
      <c r="X504" s="170">
        <f t="shared" si="129"/>
        <v>255.24097499229219</v>
      </c>
    </row>
    <row r="505" spans="17:25" x14ac:dyDescent="0.15">
      <c r="Q505">
        <f t="shared" ref="Q505:Q514" si="131">Q504+1</f>
        <v>290</v>
      </c>
      <c r="R505" s="166">
        <v>3</v>
      </c>
      <c r="S505" s="1">
        <f>$U$500*$C$24</f>
        <v>706.04300269503779</v>
      </c>
      <c r="T505" s="167">
        <f>$U$500*(100%-$C$24)</f>
        <v>78.449222521670848</v>
      </c>
      <c r="U505" s="168">
        <f t="shared" ref="U505:U514" si="132">ROUND(U504*(1+$W$500),60)</f>
        <v>1.8241611857890401</v>
      </c>
      <c r="V505" s="169">
        <f t="shared" si="130"/>
        <v>112.96688043120605</v>
      </c>
      <c r="W505" s="186">
        <f t="shared" si="128"/>
        <v>143.10402677935937</v>
      </c>
      <c r="X505" s="170">
        <f t="shared" si="129"/>
        <v>256.07090721056545</v>
      </c>
    </row>
    <row r="506" spans="17:25" x14ac:dyDescent="0.15">
      <c r="Q506">
        <f t="shared" si="131"/>
        <v>291</v>
      </c>
      <c r="R506" s="166">
        <v>4</v>
      </c>
      <c r="S506" s="1">
        <f>$U$500*$C$24</f>
        <v>706.04300269503779</v>
      </c>
      <c r="T506" s="167">
        <f>$U$500*(100%-$C$24)</f>
        <v>78.449222521670848</v>
      </c>
      <c r="U506" s="168">
        <f t="shared" si="132"/>
        <v>1.83480212603948</v>
      </c>
      <c r="V506" s="169">
        <f t="shared" si="130"/>
        <v>112.96688043120605</v>
      </c>
      <c r="W506" s="186">
        <f t="shared" si="128"/>
        <v>143.93880026890594</v>
      </c>
      <c r="X506" s="170">
        <f t="shared" si="129"/>
        <v>256.90568070011199</v>
      </c>
    </row>
    <row r="507" spans="17:25" x14ac:dyDescent="0.15">
      <c r="Q507">
        <f t="shared" si="131"/>
        <v>292</v>
      </c>
      <c r="R507" s="166">
        <v>5</v>
      </c>
      <c r="S507" s="1">
        <f>$U$500*$C$24</f>
        <v>706.04300269503779</v>
      </c>
      <c r="T507" s="167">
        <f>$U$500*(100%-$C$24)</f>
        <v>78.449222521670848</v>
      </c>
      <c r="U507" s="168">
        <f t="shared" si="132"/>
        <v>1.8455051384413801</v>
      </c>
      <c r="V507" s="169">
        <f t="shared" si="130"/>
        <v>112.96688043120605</v>
      </c>
      <c r="W507" s="186">
        <f t="shared" si="128"/>
        <v>144.77844327047478</v>
      </c>
      <c r="X507" s="170">
        <f t="shared" si="129"/>
        <v>257.74532370168083</v>
      </c>
    </row>
    <row r="508" spans="17:25" x14ac:dyDescent="0.15">
      <c r="Q508">
        <f t="shared" si="131"/>
        <v>293</v>
      </c>
      <c r="R508" s="166">
        <v>6</v>
      </c>
      <c r="S508" s="1">
        <f>$U$500*$C$24</f>
        <v>706.04300269503779</v>
      </c>
      <c r="T508" s="167">
        <f>$U$500*(100%-$C$24)</f>
        <v>78.449222521670848</v>
      </c>
      <c r="U508" s="168">
        <f t="shared" si="132"/>
        <v>1.85627058508229</v>
      </c>
      <c r="V508" s="169">
        <f t="shared" si="130"/>
        <v>112.96688043120605</v>
      </c>
      <c r="W508" s="186">
        <f t="shared" si="128"/>
        <v>145.62298418955271</v>
      </c>
      <c r="X508" s="170">
        <f t="shared" si="129"/>
        <v>258.58986462075876</v>
      </c>
    </row>
    <row r="509" spans="17:25" x14ac:dyDescent="0.15">
      <c r="Q509">
        <f t="shared" si="131"/>
        <v>294</v>
      </c>
      <c r="R509" s="166">
        <v>7</v>
      </c>
      <c r="S509" s="1">
        <f>$U$500*$C$24</f>
        <v>706.04300269503779</v>
      </c>
      <c r="T509" s="167">
        <f>$U$500*(100%-$C$24)</f>
        <v>78.449222521670848</v>
      </c>
      <c r="U509" s="168">
        <f t="shared" si="132"/>
        <v>1.86709883016194</v>
      </c>
      <c r="V509" s="169">
        <f t="shared" si="130"/>
        <v>112.96688043120605</v>
      </c>
      <c r="W509" s="186">
        <f t="shared" si="128"/>
        <v>146.47245159732535</v>
      </c>
      <c r="X509" s="170">
        <f t="shared" si="129"/>
        <v>259.4393320285314</v>
      </c>
    </row>
    <row r="510" spans="17:25" x14ac:dyDescent="0.15">
      <c r="Q510">
        <f t="shared" si="131"/>
        <v>295</v>
      </c>
      <c r="R510" s="166">
        <v>8</v>
      </c>
      <c r="S510" s="1">
        <f>$U$500*$C$24</f>
        <v>706.04300269503779</v>
      </c>
      <c r="T510" s="167">
        <f>$U$500*(100%-$C$24)</f>
        <v>78.449222521670848</v>
      </c>
      <c r="U510" s="168">
        <f t="shared" si="132"/>
        <v>1.8779902400045501</v>
      </c>
      <c r="V510" s="169">
        <f t="shared" si="130"/>
        <v>112.96688043120605</v>
      </c>
      <c r="W510" s="186">
        <f t="shared" si="128"/>
        <v>147.32687423164299</v>
      </c>
      <c r="X510" s="170">
        <f t="shared" si="129"/>
        <v>260.29375466284904</v>
      </c>
    </row>
    <row r="511" spans="17:25" x14ac:dyDescent="0.15">
      <c r="Q511">
        <f t="shared" si="131"/>
        <v>296</v>
      </c>
      <c r="R511" s="166">
        <v>9</v>
      </c>
      <c r="S511" s="1">
        <f>$U$500*$C$24</f>
        <v>706.04300269503779</v>
      </c>
      <c r="T511" s="167">
        <f>$U$500*(100%-$C$24)</f>
        <v>78.449222521670848</v>
      </c>
      <c r="U511" s="168">
        <f t="shared" si="132"/>
        <v>1.88894518307124</v>
      </c>
      <c r="V511" s="169">
        <f t="shared" si="130"/>
        <v>112.96688043120605</v>
      </c>
      <c r="W511" s="186">
        <f t="shared" si="128"/>
        <v>148.18628099799398</v>
      </c>
      <c r="X511" s="170">
        <f t="shared" si="129"/>
        <v>261.15316142920005</v>
      </c>
    </row>
    <row r="512" spans="17:25" x14ac:dyDescent="0.15">
      <c r="Q512">
        <f t="shared" si="131"/>
        <v>297</v>
      </c>
      <c r="R512" s="166">
        <v>10</v>
      </c>
      <c r="S512" s="1">
        <f>$U$500*$C$24</f>
        <v>706.04300269503779</v>
      </c>
      <c r="T512" s="167">
        <f>$U$500*(100%-$C$24)</f>
        <v>78.449222521670848</v>
      </c>
      <c r="U512" s="168">
        <f t="shared" si="132"/>
        <v>1.89996402997249</v>
      </c>
      <c r="V512" s="169">
        <f t="shared" si="130"/>
        <v>112.96688043120605</v>
      </c>
      <c r="W512" s="186">
        <f t="shared" si="128"/>
        <v>149.05070097048238</v>
      </c>
      <c r="X512" s="170">
        <f t="shared" si="129"/>
        <v>262.0175814016884</v>
      </c>
    </row>
    <row r="513" spans="17:25" x14ac:dyDescent="0.15">
      <c r="Q513">
        <f t="shared" si="131"/>
        <v>298</v>
      </c>
      <c r="R513" s="166">
        <v>11</v>
      </c>
      <c r="S513" s="1">
        <f>$U$500*$C$24</f>
        <v>706.04300269503779</v>
      </c>
      <c r="T513" s="167">
        <f>$U$500*(100%-$C$24)</f>
        <v>78.449222521670848</v>
      </c>
      <c r="U513" s="168">
        <f t="shared" si="132"/>
        <v>1.9110471534806599</v>
      </c>
      <c r="V513" s="169">
        <f t="shared" si="130"/>
        <v>112.96688043120605</v>
      </c>
      <c r="W513" s="186">
        <f t="shared" si="128"/>
        <v>149.92016339280994</v>
      </c>
      <c r="X513" s="170">
        <f t="shared" si="129"/>
        <v>262.88704382401602</v>
      </c>
    </row>
    <row r="514" spans="17:25" x14ac:dyDescent="0.15">
      <c r="Q514">
        <f t="shared" si="131"/>
        <v>299</v>
      </c>
      <c r="R514" s="166">
        <v>12</v>
      </c>
      <c r="S514" s="1">
        <f>$U$500*$C$24</f>
        <v>706.04300269503779</v>
      </c>
      <c r="T514" s="167">
        <f>$U$500*(100%-$C$24)</f>
        <v>78.449222521670848</v>
      </c>
      <c r="U514" s="168">
        <f t="shared" si="132"/>
        <v>1.9221949285426301</v>
      </c>
      <c r="V514" s="169">
        <f t="shared" si="130"/>
        <v>112.96688043120605</v>
      </c>
      <c r="W514" s="186">
        <f t="shared" si="128"/>
        <v>150.79469767926798</v>
      </c>
      <c r="X514" s="170">
        <f t="shared" si="129"/>
        <v>263.76157811047403</v>
      </c>
    </row>
    <row r="515" spans="17:25" ht="16" x14ac:dyDescent="0.3">
      <c r="S515" s="118">
        <f>IF($C$17&gt;=S500,SUM(S503:S514),"")</f>
        <v>8472.5160323404543</v>
      </c>
      <c r="T515" s="119">
        <f>IF($C$17&gt;=S500,SUM(T503:T514),"")</f>
        <v>941.39067026005034</v>
      </c>
      <c r="U515" s="108">
        <f>IF(Y516="",0,AVERAGE(U503:U514))</f>
        <v>1.8620521201806628</v>
      </c>
      <c r="V515" s="120">
        <f>IF($C$17&gt;=S500,SUM(V503:V514),"")</f>
        <v>1355.6025651744726</v>
      </c>
      <c r="W515" s="121">
        <f>IF($C$17&gt;=S500,SUM(W503:W514),"")</f>
        <v>1752.918493476021</v>
      </c>
      <c r="X515" s="121">
        <f>IF($C$17&gt;=S500,SUM(X503:X514),"")</f>
        <v>3108.5210586504941</v>
      </c>
    </row>
    <row r="516" spans="17:25" x14ac:dyDescent="0.15">
      <c r="W516" s="222" t="s">
        <v>53</v>
      </c>
      <c r="X516" s="117">
        <f>IF(AND($D$36="Yes",$D$38+1=S500,$C$17&gt;=S500),$B$38,0)</f>
        <v>0</v>
      </c>
      <c r="Y516" s="142">
        <f>IF(X515="",0,IF(AND($C$41="No",$D$36="No"),X515,IF(AND($C$41="Yes",$D$36="Yes"),(X515-X516)-($D$9+$B$38)*$E$41,IF(AND($C$41="Yes",$D$36="No"),X515-($D$9*$E$41),IF(AND($C$41="No",$D$36="Yes"),X515-X516,X515)))))</f>
        <v>3108.5210586504941</v>
      </c>
    </row>
    <row r="517" spans="17:25" ht="14" thickBot="1" x14ac:dyDescent="0.2">
      <c r="Y517" s="245" t="s">
        <v>85</v>
      </c>
    </row>
    <row r="518" spans="17:25" ht="17" thickBot="1" x14ac:dyDescent="0.25">
      <c r="R518" s="126" t="s">
        <v>48</v>
      </c>
      <c r="S518" s="127">
        <v>26</v>
      </c>
      <c r="T518" s="154" t="s">
        <v>66</v>
      </c>
      <c r="U518" s="143">
        <f>U500-($C$34*U500)</f>
        <v>782.13874854105859</v>
      </c>
      <c r="V518" s="155" t="s">
        <v>68</v>
      </c>
      <c r="W518" s="185">
        <f>ROUND($C$22/12,15)</f>
        <v>5.8333333333329997E-3</v>
      </c>
      <c r="X518" s="261">
        <f>IF(X533="",0,Y501/POWER($C$34+1,1)/POWER($E$41+1,S518))</f>
        <v>0</v>
      </c>
      <c r="Y518" s="246">
        <f>U518*12</f>
        <v>9385.6649824927026</v>
      </c>
    </row>
    <row r="519" spans="17:25" x14ac:dyDescent="0.15">
      <c r="U519" s="183" t="s">
        <v>76</v>
      </c>
      <c r="V519" s="166">
        <f>IF(S518&lt;=$C$29,$C$26,IF(AND(S518&gt;$C$29,$B$32="Yes"),AVERAGE(U521:U532),$D$32))</f>
        <v>0.16</v>
      </c>
      <c r="Y519" s="250">
        <f>IF(X518&gt;0,($D$12)/POWER($C$34+1,S518),0)</f>
        <v>0</v>
      </c>
    </row>
    <row r="520" spans="17:25" x14ac:dyDescent="0.15">
      <c r="R520" s="122" t="s">
        <v>70</v>
      </c>
      <c r="S520" s="124">
        <f>$C$24</f>
        <v>0.9</v>
      </c>
      <c r="T520" s="125">
        <f>100%-$S$88</f>
        <v>9.9999999999999978E-2</v>
      </c>
      <c r="U520" s="112" t="s">
        <v>72</v>
      </c>
      <c r="V520" s="115" t="s">
        <v>71</v>
      </c>
      <c r="W520" s="115" t="s">
        <v>67</v>
      </c>
      <c r="X520" s="116" t="s">
        <v>69</v>
      </c>
    </row>
    <row r="521" spans="17:25" x14ac:dyDescent="0.15">
      <c r="Q521">
        <f>Q514+1</f>
        <v>300</v>
      </c>
      <c r="R521" s="166">
        <v>1</v>
      </c>
      <c r="S521" s="1">
        <f>$U$518*$C$24</f>
        <v>703.92487368695276</v>
      </c>
      <c r="T521" s="167">
        <f>$U$518*(100%-$C$24)</f>
        <v>78.213874854105839</v>
      </c>
      <c r="U521" s="168">
        <f>ROUND(U514*(1+$W$518),60)</f>
        <v>1.9334077322924601</v>
      </c>
      <c r="V521" s="169">
        <f>S521*$V$519</f>
        <v>112.62797978991244</v>
      </c>
      <c r="W521" s="186">
        <f t="shared" ref="W521:W532" si="133">T521*U521</f>
        <v>151.21931041548305</v>
      </c>
      <c r="X521" s="170">
        <f t="shared" ref="X521:X532" si="134">W521+V521</f>
        <v>263.8472902053955</v>
      </c>
    </row>
    <row r="522" spans="17:25" x14ac:dyDescent="0.15">
      <c r="Q522">
        <f>Q521+1</f>
        <v>301</v>
      </c>
      <c r="R522" s="166">
        <v>2</v>
      </c>
      <c r="S522" s="1">
        <f>$U$518*$C$24</f>
        <v>703.92487368695276</v>
      </c>
      <c r="T522" s="167">
        <f>$U$518*(100%-$C$24)</f>
        <v>78.213874854105839</v>
      </c>
      <c r="U522" s="168">
        <f>ROUND(U521*(1+$W$518),60)</f>
        <v>1.9446859440641699</v>
      </c>
      <c r="V522" s="169">
        <f t="shared" ref="V522:V532" si="135">S522*$V$519</f>
        <v>112.62797978991244</v>
      </c>
      <c r="W522" s="186">
        <f t="shared" si="133"/>
        <v>152.10142305957365</v>
      </c>
      <c r="X522" s="170">
        <f t="shared" si="134"/>
        <v>264.72940284948606</v>
      </c>
    </row>
    <row r="523" spans="17:25" x14ac:dyDescent="0.15">
      <c r="Q523">
        <f t="shared" ref="Q523:Q532" si="136">Q522+1</f>
        <v>302</v>
      </c>
      <c r="R523" s="166">
        <v>3</v>
      </c>
      <c r="S523" s="1">
        <f>$U$518*$C$24</f>
        <v>703.92487368695276</v>
      </c>
      <c r="T523" s="167">
        <f>$U$518*(100%-$C$24)</f>
        <v>78.213874854105839</v>
      </c>
      <c r="U523" s="168">
        <f t="shared" ref="U523:U532" si="137">ROUND(U522*(1+$W$518),60)</f>
        <v>1.95602994540454</v>
      </c>
      <c r="V523" s="169">
        <f t="shared" si="135"/>
        <v>112.62797978991244</v>
      </c>
      <c r="W523" s="186">
        <f t="shared" si="133"/>
        <v>152.98868136075416</v>
      </c>
      <c r="X523" s="170">
        <f t="shared" si="134"/>
        <v>265.61666115066657</v>
      </c>
    </row>
    <row r="524" spans="17:25" x14ac:dyDescent="0.15">
      <c r="Q524">
        <f t="shared" si="136"/>
        <v>303</v>
      </c>
      <c r="R524" s="166">
        <v>4</v>
      </c>
      <c r="S524" s="1">
        <f>$U$518*$C$24</f>
        <v>703.92487368695276</v>
      </c>
      <c r="T524" s="167">
        <f>$U$518*(100%-$C$24)</f>
        <v>78.213874854105839</v>
      </c>
      <c r="U524" s="168">
        <f t="shared" si="137"/>
        <v>1.9674401200860701</v>
      </c>
      <c r="V524" s="169">
        <f t="shared" si="135"/>
        <v>112.62797978991244</v>
      </c>
      <c r="W524" s="186">
        <f t="shared" si="133"/>
        <v>153.88111533535886</v>
      </c>
      <c r="X524" s="170">
        <f t="shared" si="134"/>
        <v>266.5090951252713</v>
      </c>
    </row>
    <row r="525" spans="17:25" x14ac:dyDescent="0.15">
      <c r="Q525">
        <f t="shared" si="136"/>
        <v>304</v>
      </c>
      <c r="R525" s="166">
        <v>5</v>
      </c>
      <c r="S525" s="1">
        <f>$U$518*$C$24</f>
        <v>703.92487368695276</v>
      </c>
      <c r="T525" s="167">
        <f>$U$518*(100%-$C$24)</f>
        <v>78.213874854105839</v>
      </c>
      <c r="U525" s="168">
        <f t="shared" si="137"/>
        <v>1.9789168541199</v>
      </c>
      <c r="V525" s="169">
        <f t="shared" si="135"/>
        <v>112.62797978991244</v>
      </c>
      <c r="W525" s="186">
        <f t="shared" si="133"/>
        <v>154.77875517481468</v>
      </c>
      <c r="X525" s="170">
        <f t="shared" si="134"/>
        <v>267.40673496472709</v>
      </c>
    </row>
    <row r="526" spans="17:25" x14ac:dyDescent="0.15">
      <c r="Q526">
        <f t="shared" si="136"/>
        <v>305</v>
      </c>
      <c r="R526" s="166">
        <v>6</v>
      </c>
      <c r="S526" s="1">
        <f>$U$518*$C$24</f>
        <v>703.92487368695276</v>
      </c>
      <c r="T526" s="167">
        <f>$U$518*(100%-$C$24)</f>
        <v>78.213874854105839</v>
      </c>
      <c r="U526" s="168">
        <f t="shared" si="137"/>
        <v>1.99046053576893</v>
      </c>
      <c r="V526" s="169">
        <f t="shared" si="135"/>
        <v>112.62797978991244</v>
      </c>
      <c r="W526" s="186">
        <f t="shared" si="133"/>
        <v>155.68163124666756</v>
      </c>
      <c r="X526" s="170">
        <f t="shared" si="134"/>
        <v>268.30961103658001</v>
      </c>
    </row>
    <row r="527" spans="17:25" x14ac:dyDescent="0.15">
      <c r="Q527">
        <f t="shared" si="136"/>
        <v>306</v>
      </c>
      <c r="R527" s="166">
        <v>7</v>
      </c>
      <c r="S527" s="1">
        <f>$U$518*$C$24</f>
        <v>703.92487368695276</v>
      </c>
      <c r="T527" s="167">
        <f>$U$518*(100%-$C$24)</f>
        <v>78.213874854105839</v>
      </c>
      <c r="U527" s="168">
        <f t="shared" si="137"/>
        <v>2.0020715555609101</v>
      </c>
      <c r="V527" s="169">
        <f t="shared" si="135"/>
        <v>112.62797978991244</v>
      </c>
      <c r="W527" s="186">
        <f t="shared" si="133"/>
        <v>156.58977409560603</v>
      </c>
      <c r="X527" s="170">
        <f t="shared" si="134"/>
        <v>269.2177538855185</v>
      </c>
    </row>
    <row r="528" spans="17:25" x14ac:dyDescent="0.15">
      <c r="Q528">
        <f t="shared" si="136"/>
        <v>307</v>
      </c>
      <c r="R528" s="166">
        <v>8</v>
      </c>
      <c r="S528" s="1">
        <f>$U$518*$C$24</f>
        <v>703.92487368695276</v>
      </c>
      <c r="T528" s="167">
        <f>$U$518*(100%-$C$24)</f>
        <v>78.213874854105839</v>
      </c>
      <c r="U528" s="168">
        <f t="shared" si="137"/>
        <v>2.0137503063016799</v>
      </c>
      <c r="V528" s="169">
        <f t="shared" si="135"/>
        <v>112.62797978991244</v>
      </c>
      <c r="W528" s="186">
        <f t="shared" si="133"/>
        <v>157.5032144444969</v>
      </c>
      <c r="X528" s="170">
        <f t="shared" si="134"/>
        <v>270.13119423440935</v>
      </c>
    </row>
    <row r="529" spans="17:25" x14ac:dyDescent="0.15">
      <c r="Q529">
        <f t="shared" si="136"/>
        <v>308</v>
      </c>
      <c r="R529" s="166">
        <v>9</v>
      </c>
      <c r="S529" s="1">
        <f>$U$518*$C$24</f>
        <v>703.92487368695276</v>
      </c>
      <c r="T529" s="167">
        <f>$U$518*(100%-$C$24)</f>
        <v>78.213874854105839</v>
      </c>
      <c r="U529" s="168">
        <f t="shared" si="137"/>
        <v>2.0254971830884401</v>
      </c>
      <c r="V529" s="169">
        <f t="shared" si="135"/>
        <v>112.62797978991244</v>
      </c>
      <c r="W529" s="186">
        <f t="shared" si="133"/>
        <v>158.42198319542317</v>
      </c>
      <c r="X529" s="170">
        <f t="shared" si="134"/>
        <v>271.04996298533558</v>
      </c>
    </row>
    <row r="530" spans="17:25" x14ac:dyDescent="0.15">
      <c r="Q530">
        <f t="shared" si="136"/>
        <v>309</v>
      </c>
      <c r="R530" s="166">
        <v>10</v>
      </c>
      <c r="S530" s="1">
        <f>$U$518*$C$24</f>
        <v>703.92487368695276</v>
      </c>
      <c r="T530" s="167">
        <f>$U$518*(100%-$C$24)</f>
        <v>78.213874854105839</v>
      </c>
      <c r="U530" s="168">
        <f t="shared" si="137"/>
        <v>2.03731258332312</v>
      </c>
      <c r="V530" s="169">
        <f t="shared" si="135"/>
        <v>112.62797978991244</v>
      </c>
      <c r="W530" s="186">
        <f t="shared" si="133"/>
        <v>159.34611143072959</v>
      </c>
      <c r="X530" s="170">
        <f t="shared" si="134"/>
        <v>271.97409122064204</v>
      </c>
    </row>
    <row r="531" spans="17:25" x14ac:dyDescent="0.15">
      <c r="Q531">
        <f t="shared" si="136"/>
        <v>310</v>
      </c>
      <c r="R531" s="166">
        <v>11</v>
      </c>
      <c r="S531" s="1">
        <f>$U$518*$C$24</f>
        <v>703.92487368695276</v>
      </c>
      <c r="T531" s="167">
        <f>$U$518*(100%-$C$24)</f>
        <v>78.213874854105839</v>
      </c>
      <c r="U531" s="168">
        <f t="shared" si="137"/>
        <v>2.04919690672584</v>
      </c>
      <c r="V531" s="169">
        <f t="shared" si="135"/>
        <v>112.62797978991244</v>
      </c>
      <c r="W531" s="186">
        <f t="shared" si="133"/>
        <v>160.27563041407564</v>
      </c>
      <c r="X531" s="170">
        <f t="shared" si="134"/>
        <v>272.90361020398808</v>
      </c>
    </row>
    <row r="532" spans="17:25" x14ac:dyDescent="0.15">
      <c r="Q532">
        <f t="shared" si="136"/>
        <v>311</v>
      </c>
      <c r="R532" s="166">
        <v>12</v>
      </c>
      <c r="S532" s="1">
        <f>$U$518*$C$24</f>
        <v>703.92487368695276</v>
      </c>
      <c r="T532" s="167">
        <f>$U$518*(100%-$C$24)</f>
        <v>78.213874854105839</v>
      </c>
      <c r="U532" s="168">
        <f t="shared" si="137"/>
        <v>2.06115055534841</v>
      </c>
      <c r="V532" s="169">
        <f t="shared" si="135"/>
        <v>112.62797978991244</v>
      </c>
      <c r="W532" s="186">
        <f t="shared" si="133"/>
        <v>161.21057159149129</v>
      </c>
      <c r="X532" s="170">
        <f t="shared" si="134"/>
        <v>273.8385513814037</v>
      </c>
    </row>
    <row r="533" spans="17:25" ht="16" x14ac:dyDescent="0.3">
      <c r="S533" s="118" t="str">
        <f>IF($C$17&gt;=S518,SUM(S521:S532),"")</f>
        <v/>
      </c>
      <c r="T533" s="119" t="str">
        <f>IF($C$17&gt;=S518,SUM(T521:T532),"")</f>
        <v/>
      </c>
      <c r="U533" s="108">
        <f>IF(Y534="",0,AVERAGE(U521:U532))</f>
        <v>1.9966600185070391</v>
      </c>
      <c r="V533" s="120" t="str">
        <f>IF($C$17&gt;=S518,SUM(V521:V532),"")</f>
        <v/>
      </c>
      <c r="W533" s="121" t="str">
        <f>IF($C$17&gt;=S518,SUM(W521:W532),"")</f>
        <v/>
      </c>
      <c r="X533" s="121" t="str">
        <f>IF($C$17&gt;=S518,SUM(X521:X532),"")</f>
        <v/>
      </c>
    </row>
    <row r="534" spans="17:25" x14ac:dyDescent="0.15">
      <c r="W534" s="222" t="s">
        <v>53</v>
      </c>
      <c r="X534" s="117">
        <f>IF(AND($D$36="Yes",$D$38+1=S518,$C$17&gt;=S518),$B$38,0)</f>
        <v>0</v>
      </c>
      <c r="Y534" s="142">
        <f>IF(X533="",0,IF(AND($C$41="No",$D$36="No"),X533,IF(AND($C$41="Yes",$D$36="Yes"),(X533-X534)-($D$9+$B$38)*$E$41,IF(AND($C$41="Yes",$D$36="No"),X533-($D$9*$E$41),IF(AND($C$41="No",$D$36="Yes"),X533-X534,X533)))))</f>
        <v>0</v>
      </c>
    </row>
    <row r="535" spans="17:25" ht="14" thickBot="1" x14ac:dyDescent="0.2">
      <c r="Y535" s="245" t="s">
        <v>85</v>
      </c>
    </row>
    <row r="536" spans="17:25" ht="17" thickBot="1" x14ac:dyDescent="0.25">
      <c r="R536" s="126" t="s">
        <v>48</v>
      </c>
      <c r="S536" s="127">
        <v>27</v>
      </c>
      <c r="T536" s="154" t="s">
        <v>66</v>
      </c>
      <c r="U536" s="143">
        <f>U518-($C$34*U518)</f>
        <v>779.79233229543536</v>
      </c>
      <c r="V536" s="155" t="s">
        <v>68</v>
      </c>
      <c r="W536" s="185">
        <f>ROUND($C$22/12,15)</f>
        <v>5.8333333333329997E-3</v>
      </c>
      <c r="X536" s="261">
        <f>IF(X551="",0,Y519/POWER($C$34+1,1)/POWER($E$41+1,S536))</f>
        <v>0</v>
      </c>
      <c r="Y536" s="246">
        <f>U536*12</f>
        <v>9357.5079875452248</v>
      </c>
    </row>
    <row r="537" spans="17:25" x14ac:dyDescent="0.15">
      <c r="U537" s="183" t="s">
        <v>76</v>
      </c>
      <c r="V537" s="166">
        <f>IF(S536&lt;=$C$29,$C$26,IF(AND(S536&gt;$C$29,$B$32="Yes"),AVERAGE(U539:U550),$D$32))</f>
        <v>0.16</v>
      </c>
      <c r="Y537" s="250">
        <f>IF(X536&gt;0,($D$12)/POWER($C$34+1,S536),0)</f>
        <v>0</v>
      </c>
    </row>
    <row r="538" spans="17:25" x14ac:dyDescent="0.15">
      <c r="R538" s="122" t="s">
        <v>70</v>
      </c>
      <c r="S538" s="124">
        <f>$C$24</f>
        <v>0.9</v>
      </c>
      <c r="T538" s="125">
        <f>100%-$S$88</f>
        <v>9.9999999999999978E-2</v>
      </c>
      <c r="U538" s="112" t="s">
        <v>72</v>
      </c>
      <c r="V538" s="115" t="s">
        <v>71</v>
      </c>
      <c r="W538" s="115" t="s">
        <v>67</v>
      </c>
      <c r="X538" s="116" t="s">
        <v>69</v>
      </c>
    </row>
    <row r="539" spans="17:25" x14ac:dyDescent="0.15">
      <c r="Q539">
        <f>Q532+1</f>
        <v>312</v>
      </c>
      <c r="R539" s="166">
        <v>1</v>
      </c>
      <c r="S539" s="1">
        <f>$U$536*$C$24</f>
        <v>701.81309906589183</v>
      </c>
      <c r="T539" s="167">
        <f>$U$536*(100%-$C$24)</f>
        <v>77.979233229543524</v>
      </c>
      <c r="U539" s="168">
        <f>ROUND(U532*(1+$W$536),60)</f>
        <v>2.07317393358794</v>
      </c>
      <c r="V539" s="169">
        <f>S539*$V$537</f>
        <v>112.2900958505427</v>
      </c>
      <c r="W539" s="186">
        <f t="shared" ref="W539:W550" si="138">T539*U539</f>
        <v>161.66451369266414</v>
      </c>
      <c r="X539" s="170">
        <f t="shared" ref="X539:X550" si="139">W539+V539</f>
        <v>273.95460954320686</v>
      </c>
    </row>
    <row r="540" spans="17:25" x14ac:dyDescent="0.15">
      <c r="Q540">
        <f>Q539+1</f>
        <v>313</v>
      </c>
      <c r="R540" s="166">
        <v>2</v>
      </c>
      <c r="S540" s="1">
        <f>$U$536*$C$24</f>
        <v>701.81309906589183</v>
      </c>
      <c r="T540" s="167">
        <f>$U$536*(100%-$C$24)</f>
        <v>77.979233229543524</v>
      </c>
      <c r="U540" s="168">
        <f>ROUND(U539*(1+$W$536),60)</f>
        <v>2.0852674482005402</v>
      </c>
      <c r="V540" s="169">
        <f t="shared" ref="V540:V550" si="140">S540*$V$537</f>
        <v>112.2900958505427</v>
      </c>
      <c r="W540" s="186">
        <f t="shared" si="138"/>
        <v>162.60755668920498</v>
      </c>
      <c r="X540" s="170">
        <f t="shared" si="139"/>
        <v>274.8976525397477</v>
      </c>
    </row>
    <row r="541" spans="17:25" x14ac:dyDescent="0.15">
      <c r="Q541">
        <f t="shared" ref="Q541:Q550" si="141">Q540+1</f>
        <v>314</v>
      </c>
      <c r="R541" s="166">
        <v>3</v>
      </c>
      <c r="S541" s="1">
        <f>$U$536*$C$24</f>
        <v>701.81309906589183</v>
      </c>
      <c r="T541" s="167">
        <f>$U$536*(100%-$C$24)</f>
        <v>77.979233229543524</v>
      </c>
      <c r="U541" s="168">
        <f t="shared" ref="U541:U550" si="142">ROUND(U540*(1+$W$536),60)</f>
        <v>2.0974315083150401</v>
      </c>
      <c r="V541" s="169">
        <f t="shared" si="140"/>
        <v>112.2900958505427</v>
      </c>
      <c r="W541" s="186">
        <f t="shared" si="138"/>
        <v>163.55610076989177</v>
      </c>
      <c r="X541" s="170">
        <f t="shared" si="139"/>
        <v>275.84619662043445</v>
      </c>
    </row>
    <row r="542" spans="17:25" x14ac:dyDescent="0.15">
      <c r="Q542">
        <f t="shared" si="141"/>
        <v>315</v>
      </c>
      <c r="R542" s="166">
        <v>4</v>
      </c>
      <c r="S542" s="1">
        <f>$U$536*$C$24</f>
        <v>701.81309906589183</v>
      </c>
      <c r="T542" s="167">
        <f>$U$536*(100%-$C$24)</f>
        <v>77.979233229543524</v>
      </c>
      <c r="U542" s="168">
        <f t="shared" si="142"/>
        <v>2.10966652544688</v>
      </c>
      <c r="V542" s="169">
        <f t="shared" si="140"/>
        <v>112.2900958505427</v>
      </c>
      <c r="W542" s="186">
        <f t="shared" si="138"/>
        <v>164.51017802438298</v>
      </c>
      <c r="X542" s="170">
        <f t="shared" si="139"/>
        <v>276.80027387492567</v>
      </c>
    </row>
    <row r="543" spans="17:25" x14ac:dyDescent="0.15">
      <c r="Q543">
        <f t="shared" si="141"/>
        <v>316</v>
      </c>
      <c r="R543" s="166">
        <v>5</v>
      </c>
      <c r="S543" s="1">
        <f>$U$536*$C$24</f>
        <v>701.81309906589183</v>
      </c>
      <c r="T543" s="167">
        <f>$U$536*(100%-$C$24)</f>
        <v>77.979233229543524</v>
      </c>
      <c r="U543" s="168">
        <f t="shared" si="142"/>
        <v>2.12197291351199</v>
      </c>
      <c r="V543" s="169">
        <f t="shared" si="140"/>
        <v>112.2900958505427</v>
      </c>
      <c r="W543" s="186">
        <f t="shared" si="138"/>
        <v>165.46982072952545</v>
      </c>
      <c r="X543" s="170">
        <f t="shared" si="139"/>
        <v>277.75991658006814</v>
      </c>
    </row>
    <row r="544" spans="17:25" x14ac:dyDescent="0.15">
      <c r="Q544">
        <f t="shared" si="141"/>
        <v>317</v>
      </c>
      <c r="R544" s="166">
        <v>6</v>
      </c>
      <c r="S544" s="1">
        <f>$U$536*$C$24</f>
        <v>701.81309906589183</v>
      </c>
      <c r="T544" s="167">
        <f>$U$536*(100%-$C$24)</f>
        <v>77.979233229543524</v>
      </c>
      <c r="U544" s="168">
        <f t="shared" si="142"/>
        <v>2.1343510888408099</v>
      </c>
      <c r="V544" s="169">
        <f t="shared" si="140"/>
        <v>112.2900958505427</v>
      </c>
      <c r="W544" s="186">
        <f t="shared" si="138"/>
        <v>166.43506135044768</v>
      </c>
      <c r="X544" s="170">
        <f t="shared" si="139"/>
        <v>278.7251572009904</v>
      </c>
    </row>
    <row r="545" spans="17:25" x14ac:dyDescent="0.15">
      <c r="Q545">
        <f t="shared" si="141"/>
        <v>318</v>
      </c>
      <c r="R545" s="166">
        <v>7</v>
      </c>
      <c r="S545" s="1">
        <f>$U$536*$C$24</f>
        <v>701.81309906589183</v>
      </c>
      <c r="T545" s="167">
        <f>$U$536*(100%-$C$24)</f>
        <v>77.979233229543524</v>
      </c>
      <c r="U545" s="168">
        <f t="shared" si="142"/>
        <v>2.1468014701923801</v>
      </c>
      <c r="V545" s="169">
        <f t="shared" si="140"/>
        <v>112.2900958505427</v>
      </c>
      <c r="W545" s="186">
        <f t="shared" si="138"/>
        <v>167.40593254165853</v>
      </c>
      <c r="X545" s="170">
        <f t="shared" si="139"/>
        <v>279.69602839220124</v>
      </c>
    </row>
    <row r="546" spans="17:25" x14ac:dyDescent="0.15">
      <c r="Q546">
        <f t="shared" si="141"/>
        <v>319</v>
      </c>
      <c r="R546" s="166">
        <v>8</v>
      </c>
      <c r="S546" s="1">
        <f>$U$536*$C$24</f>
        <v>701.81309906589183</v>
      </c>
      <c r="T546" s="167">
        <f>$U$536*(100%-$C$24)</f>
        <v>77.979233229543524</v>
      </c>
      <c r="U546" s="168">
        <f t="shared" si="142"/>
        <v>2.1593244787685002</v>
      </c>
      <c r="V546" s="169">
        <f t="shared" si="140"/>
        <v>112.2900958505427</v>
      </c>
      <c r="W546" s="186">
        <f t="shared" si="138"/>
        <v>168.38246714815139</v>
      </c>
      <c r="X546" s="170">
        <f t="shared" si="139"/>
        <v>280.6725629986941</v>
      </c>
    </row>
    <row r="547" spans="17:25" x14ac:dyDescent="0.15">
      <c r="Q547">
        <f t="shared" si="141"/>
        <v>320</v>
      </c>
      <c r="R547" s="166">
        <v>9</v>
      </c>
      <c r="S547" s="1">
        <f>$U$536*$C$24</f>
        <v>701.81309906589183</v>
      </c>
      <c r="T547" s="167">
        <f>$U$536*(100%-$C$24)</f>
        <v>77.979233229543524</v>
      </c>
      <c r="U547" s="168">
        <f t="shared" si="142"/>
        <v>2.17192053822798</v>
      </c>
      <c r="V547" s="169">
        <f t="shared" si="140"/>
        <v>112.2900958505427</v>
      </c>
      <c r="W547" s="186">
        <f t="shared" si="138"/>
        <v>169.36469820651536</v>
      </c>
      <c r="X547" s="170">
        <f t="shared" si="139"/>
        <v>281.65479405705804</v>
      </c>
    </row>
    <row r="548" spans="17:25" x14ac:dyDescent="0.15">
      <c r="Q548">
        <f t="shared" si="141"/>
        <v>321</v>
      </c>
      <c r="R548" s="166">
        <v>10</v>
      </c>
      <c r="S548" s="1">
        <f>$U$536*$C$24</f>
        <v>701.81309906589183</v>
      </c>
      <c r="T548" s="167">
        <f>$U$536*(100%-$C$24)</f>
        <v>77.979233229543524</v>
      </c>
      <c r="U548" s="168">
        <f t="shared" si="142"/>
        <v>2.1845900747009801</v>
      </c>
      <c r="V548" s="169">
        <f t="shared" si="140"/>
        <v>112.2900958505427</v>
      </c>
      <c r="W548" s="186">
        <f t="shared" si="138"/>
        <v>170.35265894605365</v>
      </c>
      <c r="X548" s="170">
        <f t="shared" si="139"/>
        <v>282.64275479659636</v>
      </c>
    </row>
    <row r="549" spans="17:25" x14ac:dyDescent="0.15">
      <c r="Q549">
        <f t="shared" si="141"/>
        <v>322</v>
      </c>
      <c r="R549" s="166">
        <v>11</v>
      </c>
      <c r="S549" s="1">
        <f>$U$536*$C$24</f>
        <v>701.81309906589183</v>
      </c>
      <c r="T549" s="167">
        <f>$U$536*(100%-$C$24)</f>
        <v>77.979233229543524</v>
      </c>
      <c r="U549" s="168">
        <f t="shared" si="142"/>
        <v>2.1973335168034001</v>
      </c>
      <c r="V549" s="169">
        <f t="shared" si="140"/>
        <v>112.2900958505427</v>
      </c>
      <c r="W549" s="186">
        <f t="shared" si="138"/>
        <v>171.34638278990542</v>
      </c>
      <c r="X549" s="170">
        <f t="shared" si="139"/>
        <v>283.6364786404481</v>
      </c>
    </row>
    <row r="550" spans="17:25" x14ac:dyDescent="0.15">
      <c r="Q550">
        <f t="shared" si="141"/>
        <v>323</v>
      </c>
      <c r="R550" s="166">
        <v>12</v>
      </c>
      <c r="S550" s="1">
        <f>$U$536*$C$24</f>
        <v>701.81309906589183</v>
      </c>
      <c r="T550" s="167">
        <f>$U$536*(100%-$C$24)</f>
        <v>77.979233229543524</v>
      </c>
      <c r="U550" s="168">
        <f t="shared" si="142"/>
        <v>2.21015129565142</v>
      </c>
      <c r="V550" s="169">
        <f t="shared" si="140"/>
        <v>112.2900958505427</v>
      </c>
      <c r="W550" s="186">
        <f t="shared" si="138"/>
        <v>172.34590335617989</v>
      </c>
      <c r="X550" s="170">
        <f t="shared" si="139"/>
        <v>284.6359992067226</v>
      </c>
    </row>
    <row r="551" spans="17:25" ht="16" x14ac:dyDescent="0.3">
      <c r="S551" s="118" t="str">
        <f>IF($C$17&gt;=S536,SUM(S539:S550),"")</f>
        <v/>
      </c>
      <c r="T551" s="119" t="str">
        <f>IF($C$17&gt;=S536,SUM(T539:T550),"")</f>
        <v/>
      </c>
      <c r="U551" s="108">
        <f>IF(Y552="",0,AVERAGE(U539:U550))</f>
        <v>2.1409987326873217</v>
      </c>
      <c r="V551" s="120" t="str">
        <f>IF($C$17&gt;=S536,SUM(V539:V550),"")</f>
        <v/>
      </c>
      <c r="W551" s="121" t="str">
        <f>IF($C$17&gt;=S536,SUM(W539:W550),"")</f>
        <v/>
      </c>
      <c r="X551" s="121" t="str">
        <f>IF($C$17&gt;=S536,SUM(X539:X550),"")</f>
        <v/>
      </c>
    </row>
    <row r="552" spans="17:25" x14ac:dyDescent="0.15">
      <c r="W552" s="222" t="s">
        <v>53</v>
      </c>
      <c r="X552" s="117">
        <f>IF(AND($D$36="Yes",$D$38+1=S536,$C$17&gt;=S536),$B$38,0)</f>
        <v>0</v>
      </c>
      <c r="Y552" s="142">
        <f>IF(X551="",0,IF(AND($C$41="No",$D$36="No"),X551,IF(AND($C$41="Yes",$D$36="Yes"),(X551-X552)-($D$9+$B$38)*$E$41,IF(AND($C$41="Yes",$D$36="No"),X551-($D$9*$E$41),IF(AND($C$41="No",$D$36="Yes"),X551-X552,X551)))))</f>
        <v>0</v>
      </c>
    </row>
    <row r="553" spans="17:25" ht="14" thickBot="1" x14ac:dyDescent="0.2">
      <c r="Y553" s="245" t="s">
        <v>85</v>
      </c>
    </row>
    <row r="554" spans="17:25" ht="17" thickBot="1" x14ac:dyDescent="0.25">
      <c r="R554" s="126" t="s">
        <v>48</v>
      </c>
      <c r="S554" s="127">
        <v>28</v>
      </c>
      <c r="T554" s="154" t="s">
        <v>66</v>
      </c>
      <c r="U554" s="143">
        <f>U536-($C$34*U536)</f>
        <v>777.452955298549</v>
      </c>
      <c r="V554" s="155" t="s">
        <v>68</v>
      </c>
      <c r="W554" s="185">
        <f>ROUND($C$22/12,15)</f>
        <v>5.8333333333329997E-3</v>
      </c>
      <c r="X554" s="261">
        <f>IF(X569="",0,Y537/POWER($C$34+1,1)/POWER($E$41+1,S554))</f>
        <v>0</v>
      </c>
      <c r="Y554" s="246">
        <f>U554*12</f>
        <v>9329.4354635825875</v>
      </c>
    </row>
    <row r="555" spans="17:25" x14ac:dyDescent="0.15">
      <c r="U555" s="183" t="s">
        <v>76</v>
      </c>
      <c r="V555" s="166">
        <f>IF(S554&lt;=$C$29,$C$26,IF(AND(S554&gt;$C$29,$B$32="Yes"),AVERAGE(U557:U568),$D$32))</f>
        <v>0.16</v>
      </c>
      <c r="Y555" s="250">
        <f>IF(X554&gt;0,($D$12)/POWER($C$34+1,S554),0)</f>
        <v>0</v>
      </c>
    </row>
    <row r="556" spans="17:25" x14ac:dyDescent="0.15">
      <c r="R556" s="122" t="s">
        <v>70</v>
      </c>
      <c r="S556" s="124">
        <f>$C$24</f>
        <v>0.9</v>
      </c>
      <c r="T556" s="125">
        <f>100%-$S$88</f>
        <v>9.9999999999999978E-2</v>
      </c>
      <c r="U556" s="112" t="s">
        <v>72</v>
      </c>
      <c r="V556" s="115" t="s">
        <v>71</v>
      </c>
      <c r="W556" s="115" t="s">
        <v>67</v>
      </c>
      <c r="X556" s="116" t="s">
        <v>69</v>
      </c>
    </row>
    <row r="557" spans="17:25" x14ac:dyDescent="0.15">
      <c r="Q557">
        <f>Q550+1</f>
        <v>324</v>
      </c>
      <c r="R557" s="166">
        <v>1</v>
      </c>
      <c r="S557" s="1">
        <f>$U$554*$C$24</f>
        <v>699.70765976869416</v>
      </c>
      <c r="T557" s="167">
        <f>$U$554*(100%-$C$24)</f>
        <v>77.745295529854886</v>
      </c>
      <c r="U557" s="168">
        <f>ROUND(U550*(1+$W$554),60)</f>
        <v>2.2230438448760501</v>
      </c>
      <c r="V557" s="169">
        <f>S557*$V$555</f>
        <v>111.95322556299107</v>
      </c>
      <c r="W557" s="186">
        <f t="shared" ref="W557:W568" si="143">T557*U557</f>
        <v>172.83120069571339</v>
      </c>
      <c r="X557" s="170">
        <f t="shared" ref="X557:X568" si="144">W557+V557</f>
        <v>284.78442625870446</v>
      </c>
    </row>
    <row r="558" spans="17:25" x14ac:dyDescent="0.15">
      <c r="Q558">
        <f>Q557+1</f>
        <v>325</v>
      </c>
      <c r="R558" s="166">
        <v>2</v>
      </c>
      <c r="S558" s="1">
        <f>$U$554*$C$24</f>
        <v>699.70765976869416</v>
      </c>
      <c r="T558" s="167">
        <f>$U$554*(100%-$C$24)</f>
        <v>77.745295529854886</v>
      </c>
      <c r="U558" s="168">
        <f>ROUND(U557*(1+$W$554),60)</f>
        <v>2.2360116006378301</v>
      </c>
      <c r="V558" s="169">
        <f t="shared" ref="V558:V568" si="145">S558*$V$555</f>
        <v>111.95322556299107</v>
      </c>
      <c r="W558" s="186">
        <f t="shared" si="143"/>
        <v>173.83938269977196</v>
      </c>
      <c r="X558" s="170">
        <f t="shared" si="144"/>
        <v>285.792608262763</v>
      </c>
    </row>
    <row r="559" spans="17:25" x14ac:dyDescent="0.15">
      <c r="Q559">
        <f t="shared" ref="Q559:Q568" si="146">Q558+1</f>
        <v>326</v>
      </c>
      <c r="R559" s="166">
        <v>3</v>
      </c>
      <c r="S559" s="1">
        <f>$U$554*$C$24</f>
        <v>699.70765976869416</v>
      </c>
      <c r="T559" s="167">
        <f>$U$554*(100%-$C$24)</f>
        <v>77.745295529854886</v>
      </c>
      <c r="U559" s="168">
        <f t="shared" ref="U559:U568" si="147">ROUND(U558*(1+$W$554),60)</f>
        <v>2.2490550016415498</v>
      </c>
      <c r="V559" s="169">
        <f t="shared" si="145"/>
        <v>111.95322556299107</v>
      </c>
      <c r="W559" s="186">
        <f t="shared" si="143"/>
        <v>174.85344576552055</v>
      </c>
      <c r="X559" s="170">
        <f t="shared" si="144"/>
        <v>286.80667132851158</v>
      </c>
    </row>
    <row r="560" spans="17:25" x14ac:dyDescent="0.15">
      <c r="Q560">
        <f t="shared" si="146"/>
        <v>327</v>
      </c>
      <c r="R560" s="166">
        <v>4</v>
      </c>
      <c r="S560" s="1">
        <f>$U$554*$C$24</f>
        <v>699.70765976869416</v>
      </c>
      <c r="T560" s="167">
        <f>$U$554*(100%-$C$24)</f>
        <v>77.745295529854886</v>
      </c>
      <c r="U560" s="168">
        <f t="shared" si="147"/>
        <v>2.26217448915112</v>
      </c>
      <c r="V560" s="169">
        <f t="shared" si="145"/>
        <v>111.95322556299107</v>
      </c>
      <c r="W560" s="186">
        <f t="shared" si="143"/>
        <v>175.87342419915234</v>
      </c>
      <c r="X560" s="170">
        <f t="shared" si="144"/>
        <v>287.8266497621434</v>
      </c>
    </row>
    <row r="561" spans="17:25" x14ac:dyDescent="0.15">
      <c r="Q561">
        <f t="shared" si="146"/>
        <v>328</v>
      </c>
      <c r="R561" s="166">
        <v>5</v>
      </c>
      <c r="S561" s="1">
        <f>$U$554*$C$24</f>
        <v>699.70765976869416</v>
      </c>
      <c r="T561" s="167">
        <f>$U$554*(100%-$C$24)</f>
        <v>77.745295529854886</v>
      </c>
      <c r="U561" s="168">
        <f t="shared" si="147"/>
        <v>2.2753705070044998</v>
      </c>
      <c r="V561" s="169">
        <f t="shared" si="145"/>
        <v>111.95322556299107</v>
      </c>
      <c r="W561" s="186">
        <f t="shared" si="143"/>
        <v>176.89935250698059</v>
      </c>
      <c r="X561" s="170">
        <f t="shared" si="144"/>
        <v>288.85257806997163</v>
      </c>
    </row>
    <row r="562" spans="17:25" x14ac:dyDescent="0.15">
      <c r="Q562">
        <f t="shared" si="146"/>
        <v>329</v>
      </c>
      <c r="R562" s="166">
        <v>6</v>
      </c>
      <c r="S562" s="1">
        <f>$U$554*$C$24</f>
        <v>699.70765976869416</v>
      </c>
      <c r="T562" s="167">
        <f>$U$554*(100%-$C$24)</f>
        <v>77.745295529854886</v>
      </c>
      <c r="U562" s="168">
        <f t="shared" si="147"/>
        <v>2.2886435016286901</v>
      </c>
      <c r="V562" s="169">
        <f t="shared" si="145"/>
        <v>111.95322556299107</v>
      </c>
      <c r="W562" s="186">
        <f t="shared" si="143"/>
        <v>177.93126539660443</v>
      </c>
      <c r="X562" s="170">
        <f t="shared" si="144"/>
        <v>289.8844909595955</v>
      </c>
    </row>
    <row r="563" spans="17:25" x14ac:dyDescent="0.15">
      <c r="Q563">
        <f t="shared" si="146"/>
        <v>330</v>
      </c>
      <c r="R563" s="166">
        <v>7</v>
      </c>
      <c r="S563" s="1">
        <f>$U$554*$C$24</f>
        <v>699.70765976869416</v>
      </c>
      <c r="T563" s="167">
        <f>$U$554*(100%-$C$24)</f>
        <v>77.745295529854886</v>
      </c>
      <c r="U563" s="168">
        <f t="shared" si="147"/>
        <v>2.30199392205486</v>
      </c>
      <c r="V563" s="169">
        <f t="shared" si="145"/>
        <v>111.95322556299107</v>
      </c>
      <c r="W563" s="186">
        <f t="shared" si="143"/>
        <v>178.96919777808483</v>
      </c>
      <c r="X563" s="170">
        <f t="shared" si="144"/>
        <v>290.9224233410759</v>
      </c>
    </row>
    <row r="564" spans="17:25" x14ac:dyDescent="0.15">
      <c r="Q564">
        <f t="shared" si="146"/>
        <v>331</v>
      </c>
      <c r="R564" s="166">
        <v>8</v>
      </c>
      <c r="S564" s="1">
        <f>$U$554*$C$24</f>
        <v>699.70765976869416</v>
      </c>
      <c r="T564" s="167">
        <f>$U$554*(100%-$C$24)</f>
        <v>77.745295529854886</v>
      </c>
      <c r="U564" s="168">
        <f t="shared" si="147"/>
        <v>2.3154222199335099</v>
      </c>
      <c r="V564" s="169">
        <f t="shared" si="145"/>
        <v>111.95322556299107</v>
      </c>
      <c r="W564" s="186">
        <f t="shared" si="143"/>
        <v>180.01318476512338</v>
      </c>
      <c r="X564" s="170">
        <f t="shared" si="144"/>
        <v>291.96641032811442</v>
      </c>
    </row>
    <row r="565" spans="17:25" x14ac:dyDescent="0.15">
      <c r="Q565">
        <f t="shared" si="146"/>
        <v>332</v>
      </c>
      <c r="R565" s="166">
        <v>9</v>
      </c>
      <c r="S565" s="1">
        <f>$U$554*$C$24</f>
        <v>699.70765976869416</v>
      </c>
      <c r="T565" s="167">
        <f>$U$554*(100%-$C$24)</f>
        <v>77.745295529854886</v>
      </c>
      <c r="U565" s="168">
        <f t="shared" si="147"/>
        <v>2.32892884954979</v>
      </c>
      <c r="V565" s="169">
        <f t="shared" si="145"/>
        <v>111.95322556299107</v>
      </c>
      <c r="W565" s="186">
        <f t="shared" si="143"/>
        <v>181.06326167625338</v>
      </c>
      <c r="X565" s="170">
        <f t="shared" si="144"/>
        <v>293.01648723924444</v>
      </c>
    </row>
    <row r="566" spans="17:25" x14ac:dyDescent="0.15">
      <c r="Q566">
        <f t="shared" si="146"/>
        <v>333</v>
      </c>
      <c r="R566" s="166">
        <v>10</v>
      </c>
      <c r="S566" s="1">
        <f>$U$554*$C$24</f>
        <v>699.70765976869416</v>
      </c>
      <c r="T566" s="167">
        <f>$U$554*(100%-$C$24)</f>
        <v>77.745295529854886</v>
      </c>
      <c r="U566" s="168">
        <f t="shared" si="147"/>
        <v>2.3425142678388302</v>
      </c>
      <c r="V566" s="169">
        <f t="shared" si="145"/>
        <v>111.95322556299107</v>
      </c>
      <c r="W566" s="186">
        <f t="shared" si="143"/>
        <v>182.1194640360315</v>
      </c>
      <c r="X566" s="170">
        <f t="shared" si="144"/>
        <v>294.07268959902257</v>
      </c>
    </row>
    <row r="567" spans="17:25" x14ac:dyDescent="0.15">
      <c r="Q567">
        <f t="shared" si="146"/>
        <v>334</v>
      </c>
      <c r="R567" s="166">
        <v>11</v>
      </c>
      <c r="S567" s="1">
        <f>$U$554*$C$24</f>
        <v>699.70765976869416</v>
      </c>
      <c r="T567" s="167">
        <f>$U$554*(100%-$C$24)</f>
        <v>77.745295529854886</v>
      </c>
      <c r="U567" s="168">
        <f t="shared" si="147"/>
        <v>2.3561789344012198</v>
      </c>
      <c r="V567" s="169">
        <f t="shared" si="145"/>
        <v>111.95322556299107</v>
      </c>
      <c r="W567" s="186">
        <f t="shared" si="143"/>
        <v>183.1818275762414</v>
      </c>
      <c r="X567" s="170">
        <f t="shared" si="144"/>
        <v>295.13505313923247</v>
      </c>
    </row>
    <row r="568" spans="17:25" x14ac:dyDescent="0.15">
      <c r="Q568">
        <f t="shared" si="146"/>
        <v>335</v>
      </c>
      <c r="R568" s="166">
        <v>12</v>
      </c>
      <c r="S568" s="1">
        <f>$U$554*$C$24</f>
        <v>699.70765976869416</v>
      </c>
      <c r="T568" s="167">
        <f>$U$554*(100%-$C$24)</f>
        <v>77.745295529854886</v>
      </c>
      <c r="U568" s="168">
        <f t="shared" si="147"/>
        <v>2.3699233115185598</v>
      </c>
      <c r="V568" s="169">
        <f t="shared" si="145"/>
        <v>111.95322556299107</v>
      </c>
      <c r="W568" s="186">
        <f t="shared" si="143"/>
        <v>184.25038823710278</v>
      </c>
      <c r="X568" s="170">
        <f t="shared" si="144"/>
        <v>296.20361380009388</v>
      </c>
    </row>
    <row r="569" spans="17:25" ht="16" x14ac:dyDescent="0.3">
      <c r="S569" s="118" t="str">
        <f>IF($C$17&gt;=S554,SUM(S557:S568),"")</f>
        <v/>
      </c>
      <c r="T569" s="119" t="str">
        <f>IF($C$17&gt;=S554,SUM(T557:T568),"")</f>
        <v/>
      </c>
      <c r="U569" s="108">
        <f>IF(Y570="",0,AVERAGE(U557:U568))</f>
        <v>2.2957717041863757</v>
      </c>
      <c r="V569" s="120" t="str">
        <f>IF($C$17&gt;=S554,SUM(V557:V568),"")</f>
        <v/>
      </c>
      <c r="W569" s="121" t="str">
        <f>IF($C$17&gt;=S554,SUM(W557:W568),"")</f>
        <v/>
      </c>
      <c r="X569" s="121" t="str">
        <f>IF($C$17&gt;=S554,SUM(X557:X568),"")</f>
        <v/>
      </c>
    </row>
    <row r="570" spans="17:25" x14ac:dyDescent="0.15">
      <c r="W570" s="222" t="s">
        <v>53</v>
      </c>
      <c r="X570" s="117">
        <f>IF(AND($D$36="Yes",$D$38+1=S554,$C$17&gt;=S554),$B$38,0)</f>
        <v>0</v>
      </c>
      <c r="Y570" s="142">
        <f>IF(X569="",0,IF(AND($C$41="No",$D$36="No"),X569,IF(AND($C$41="Yes",$D$36="Yes"),(X569-X570)-($D$9+$B$38)*$E$41,IF(AND($C$41="Yes",$D$36="No"),X569-($D$9*$E$41),IF(AND($C$41="No",$D$36="Yes"),X569-X570,X569)))))</f>
        <v>0</v>
      </c>
    </row>
    <row r="571" spans="17:25" ht="14" thickBot="1" x14ac:dyDescent="0.2">
      <c r="Y571" s="245" t="s">
        <v>85</v>
      </c>
    </row>
    <row r="572" spans="17:25" ht="17" thickBot="1" x14ac:dyDescent="0.25">
      <c r="R572" s="126" t="s">
        <v>48</v>
      </c>
      <c r="S572" s="127">
        <v>29</v>
      </c>
      <c r="T572" s="154" t="s">
        <v>66</v>
      </c>
      <c r="U572" s="143">
        <f>U554-($C$34*U554)</f>
        <v>775.12059643265331</v>
      </c>
      <c r="V572" s="155" t="s">
        <v>68</v>
      </c>
      <c r="W572" s="185">
        <f>ROUND($C$22/12,15)</f>
        <v>5.8333333333329997E-3</v>
      </c>
      <c r="X572" s="261">
        <f>IF(X587="",0,Y555/POWER($C$34+1,1)/POWER($E$41+1,S572))</f>
        <v>0</v>
      </c>
      <c r="Y572" s="246">
        <f>U572*12</f>
        <v>9301.4471571918402</v>
      </c>
    </row>
    <row r="573" spans="17:25" x14ac:dyDescent="0.15">
      <c r="U573" s="183" t="s">
        <v>76</v>
      </c>
      <c r="V573" s="166">
        <f>IF(S572&lt;=$C$29,$C$26,IF(AND(S572&gt;$C$29,$B$32="Yes"),AVERAGE(U575:U586),$D$32))</f>
        <v>0.16</v>
      </c>
      <c r="Y573" s="250">
        <f>IF(X572&gt;0,($D$12)/POWER($C$34+1,S572),0)</f>
        <v>0</v>
      </c>
    </row>
    <row r="574" spans="17:25" x14ac:dyDescent="0.15">
      <c r="R574" s="122" t="s">
        <v>70</v>
      </c>
      <c r="S574" s="124">
        <f>$C$24</f>
        <v>0.9</v>
      </c>
      <c r="T574" s="125">
        <f>100%-$S$88</f>
        <v>9.9999999999999978E-2</v>
      </c>
      <c r="U574" t="s">
        <v>72</v>
      </c>
      <c r="V574" s="114" t="s">
        <v>71</v>
      </c>
      <c r="W574" s="114" t="s">
        <v>67</v>
      </c>
      <c r="X574" s="123" t="s">
        <v>69</v>
      </c>
    </row>
    <row r="575" spans="17:25" x14ac:dyDescent="0.15">
      <c r="Q575">
        <f>Q568+1</f>
        <v>336</v>
      </c>
      <c r="R575" s="166">
        <v>1</v>
      </c>
      <c r="S575" s="1">
        <f>$U$572*$C$24</f>
        <v>697.60853678938804</v>
      </c>
      <c r="T575" s="167">
        <f>$U$572*(100%-$C$24)</f>
        <v>77.512059643265317</v>
      </c>
      <c r="U575" s="168">
        <f>ROUND(U568*(1+$W$572),60)</f>
        <v>2.3837478641690799</v>
      </c>
      <c r="V575" s="169">
        <f>S575*$V$573</f>
        <v>111.61736588630208</v>
      </c>
      <c r="W575" s="186">
        <f t="shared" ref="W575:W586" si="148">T575*U575</f>
        <v>184.76920662198003</v>
      </c>
      <c r="X575" s="170">
        <f t="shared" ref="X575:X586" si="149">W575+V575</f>
        <v>296.38657250828214</v>
      </c>
    </row>
    <row r="576" spans="17:25" x14ac:dyDescent="0.15">
      <c r="Q576">
        <f>Q575+1</f>
        <v>337</v>
      </c>
      <c r="R576" s="166">
        <v>2</v>
      </c>
      <c r="S576" s="1">
        <f>$U$572*$C$24</f>
        <v>697.60853678938804</v>
      </c>
      <c r="T576" s="167">
        <f>$U$572*(100%-$C$24)</f>
        <v>77.512059643265317</v>
      </c>
      <c r="U576" s="168">
        <f>ROUND(U575*(1+$W$572),60)</f>
        <v>2.3976530600434001</v>
      </c>
      <c r="V576" s="169">
        <f t="shared" ref="V576:V586" si="150">S576*$V$573</f>
        <v>111.61736588630208</v>
      </c>
      <c r="W576" s="186">
        <f t="shared" si="148"/>
        <v>185.84702699394163</v>
      </c>
      <c r="X576" s="170">
        <f t="shared" si="149"/>
        <v>297.46439288024374</v>
      </c>
    </row>
    <row r="577" spans="17:25" x14ac:dyDescent="0.15">
      <c r="Q577">
        <f t="shared" ref="Q577:Q586" si="151">Q576+1</f>
        <v>338</v>
      </c>
      <c r="R577" s="166">
        <v>3</v>
      </c>
      <c r="S577" s="1">
        <f>$U$572*$C$24</f>
        <v>697.60853678938804</v>
      </c>
      <c r="T577" s="167">
        <f>$U$572*(100%-$C$24)</f>
        <v>77.512059643265317</v>
      </c>
      <c r="U577" s="168">
        <f t="shared" ref="U577:U586" si="152">ROUND(U576*(1+$W$572),60)</f>
        <v>2.4116393695603202</v>
      </c>
      <c r="V577" s="169">
        <f t="shared" si="150"/>
        <v>111.61736588630208</v>
      </c>
      <c r="W577" s="186">
        <f t="shared" si="148"/>
        <v>186.9311346514063</v>
      </c>
      <c r="X577" s="170">
        <f t="shared" si="149"/>
        <v>298.54850053770838</v>
      </c>
    </row>
    <row r="578" spans="17:25" x14ac:dyDescent="0.15">
      <c r="Q578">
        <f t="shared" si="151"/>
        <v>339</v>
      </c>
      <c r="R578" s="166">
        <v>4</v>
      </c>
      <c r="S578" s="1">
        <f>$U$572*$C$24</f>
        <v>697.60853678938804</v>
      </c>
      <c r="T578" s="167">
        <f>$U$572*(100%-$C$24)</f>
        <v>77.512059643265317</v>
      </c>
      <c r="U578" s="168">
        <f t="shared" si="152"/>
        <v>2.4257072658827501</v>
      </c>
      <c r="V578" s="169">
        <f t="shared" si="150"/>
        <v>111.61736588630208</v>
      </c>
      <c r="W578" s="186">
        <f t="shared" si="148"/>
        <v>188.02156627020577</v>
      </c>
      <c r="X578" s="170">
        <f t="shared" si="149"/>
        <v>299.63893215650785</v>
      </c>
    </row>
    <row r="579" spans="17:25" x14ac:dyDescent="0.15">
      <c r="Q579">
        <f t="shared" si="151"/>
        <v>340</v>
      </c>
      <c r="R579" s="166">
        <v>5</v>
      </c>
      <c r="S579" s="1">
        <f>$U$572*$C$24</f>
        <v>697.60853678938804</v>
      </c>
      <c r="T579" s="167">
        <f>$U$572*(100%-$C$24)</f>
        <v>77.512059643265317</v>
      </c>
      <c r="U579" s="168">
        <f t="shared" si="152"/>
        <v>2.4398572249337298</v>
      </c>
      <c r="V579" s="169">
        <f t="shared" si="150"/>
        <v>111.61736588630208</v>
      </c>
      <c r="W579" s="186">
        <f t="shared" si="148"/>
        <v>189.11835874011507</v>
      </c>
      <c r="X579" s="170">
        <f t="shared" si="149"/>
        <v>300.73572462641715</v>
      </c>
    </row>
    <row r="580" spans="17:25" x14ac:dyDescent="0.15">
      <c r="Q580">
        <f t="shared" si="151"/>
        <v>341</v>
      </c>
      <c r="R580" s="166">
        <v>6</v>
      </c>
      <c r="S580" s="1">
        <f>$U$572*$C$24</f>
        <v>697.60853678938804</v>
      </c>
      <c r="T580" s="167">
        <f>$U$572*(100%-$C$24)</f>
        <v>77.512059643265317</v>
      </c>
      <c r="U580" s="168">
        <f t="shared" si="152"/>
        <v>2.4540897254125098</v>
      </c>
      <c r="V580" s="169">
        <f t="shared" si="150"/>
        <v>111.61736588630208</v>
      </c>
      <c r="W580" s="186">
        <f t="shared" si="148"/>
        <v>190.22154916609907</v>
      </c>
      <c r="X580" s="170">
        <f t="shared" si="149"/>
        <v>301.83891505240115</v>
      </c>
    </row>
    <row r="581" spans="17:25" x14ac:dyDescent="0.15">
      <c r="Q581">
        <f t="shared" si="151"/>
        <v>342</v>
      </c>
      <c r="R581" s="166">
        <v>7</v>
      </c>
      <c r="S581" s="1">
        <f>$U$572*$C$24</f>
        <v>697.60853678938804</v>
      </c>
      <c r="T581" s="167">
        <f>$U$572*(100%-$C$24)</f>
        <v>77.512059643265317</v>
      </c>
      <c r="U581" s="168">
        <f t="shared" si="152"/>
        <v>2.46840524881075</v>
      </c>
      <c r="V581" s="169">
        <f t="shared" si="150"/>
        <v>111.61736588630208</v>
      </c>
      <c r="W581" s="186">
        <f t="shared" si="148"/>
        <v>191.331174869568</v>
      </c>
      <c r="X581" s="170">
        <f t="shared" si="149"/>
        <v>302.94854075587011</v>
      </c>
    </row>
    <row r="582" spans="17:25" x14ac:dyDescent="0.15">
      <c r="Q582">
        <f t="shared" si="151"/>
        <v>343</v>
      </c>
      <c r="R582" s="166">
        <v>8</v>
      </c>
      <c r="S582" s="1">
        <f>$U$572*$C$24</f>
        <v>697.60853678938804</v>
      </c>
      <c r="T582" s="167">
        <f>$U$572*(100%-$C$24)</f>
        <v>77.512059643265317</v>
      </c>
      <c r="U582" s="168">
        <f t="shared" si="152"/>
        <v>2.4828042794288101</v>
      </c>
      <c r="V582" s="169">
        <f t="shared" si="150"/>
        <v>111.61736588630208</v>
      </c>
      <c r="W582" s="186">
        <f t="shared" si="148"/>
        <v>192.44727338964029</v>
      </c>
      <c r="X582" s="170">
        <f t="shared" si="149"/>
        <v>304.06463927594234</v>
      </c>
    </row>
    <row r="583" spans="17:25" x14ac:dyDescent="0.15">
      <c r="Q583">
        <f t="shared" si="151"/>
        <v>344</v>
      </c>
      <c r="R583" s="166">
        <v>9</v>
      </c>
      <c r="S583" s="1">
        <f>$U$572*$C$24</f>
        <v>697.60853678938804</v>
      </c>
      <c r="T583" s="167">
        <f>$U$572*(100%-$C$24)</f>
        <v>77.512059643265317</v>
      </c>
      <c r="U583" s="168">
        <f t="shared" si="152"/>
        <v>2.49728730439214</v>
      </c>
      <c r="V583" s="169">
        <f t="shared" si="150"/>
        <v>111.61736588630208</v>
      </c>
      <c r="W583" s="186">
        <f t="shared" si="148"/>
        <v>193.56988248441283</v>
      </c>
      <c r="X583" s="170">
        <f t="shared" si="149"/>
        <v>305.18724837071488</v>
      </c>
    </row>
    <row r="584" spans="17:25" x14ac:dyDescent="0.15">
      <c r="Q584">
        <f t="shared" si="151"/>
        <v>345</v>
      </c>
      <c r="R584" s="166">
        <v>10</v>
      </c>
      <c r="S584" s="1">
        <f>$U$572*$C$24</f>
        <v>697.60853678938804</v>
      </c>
      <c r="T584" s="167">
        <f>$U$572*(100%-$C$24)</f>
        <v>77.512059643265317</v>
      </c>
      <c r="U584" s="168">
        <f t="shared" si="152"/>
        <v>2.5118548136677599</v>
      </c>
      <c r="V584" s="169">
        <f t="shared" si="150"/>
        <v>111.61736588630208</v>
      </c>
      <c r="W584" s="186">
        <f t="shared" si="148"/>
        <v>194.69904013223848</v>
      </c>
      <c r="X584" s="170">
        <f t="shared" si="149"/>
        <v>306.31640601854053</v>
      </c>
    </row>
    <row r="585" spans="17:25" x14ac:dyDescent="0.15">
      <c r="Q585">
        <f t="shared" si="151"/>
        <v>346</v>
      </c>
      <c r="R585" s="166">
        <v>11</v>
      </c>
      <c r="S585" s="1">
        <f>$U$572*$C$24</f>
        <v>697.60853678938804</v>
      </c>
      <c r="T585" s="167">
        <f>$U$572*(100%-$C$24)</f>
        <v>77.512059643265317</v>
      </c>
      <c r="U585" s="168">
        <f t="shared" si="152"/>
        <v>2.5265073000808198</v>
      </c>
      <c r="V585" s="169">
        <f t="shared" si="150"/>
        <v>111.61736588630208</v>
      </c>
      <c r="W585" s="186">
        <f t="shared" si="148"/>
        <v>195.83478453300972</v>
      </c>
      <c r="X585" s="170">
        <f t="shared" si="149"/>
        <v>307.45215041931181</v>
      </c>
    </row>
    <row r="586" spans="17:25" x14ac:dyDescent="0.15">
      <c r="Q586">
        <f t="shared" si="151"/>
        <v>347</v>
      </c>
      <c r="R586" s="166">
        <v>12</v>
      </c>
      <c r="S586" s="1">
        <f>$U$572*$C$24</f>
        <v>697.60853678938804</v>
      </c>
      <c r="T586" s="167">
        <f>$U$572*(100%-$C$24)</f>
        <v>77.512059643265317</v>
      </c>
      <c r="U586" s="168">
        <f t="shared" si="152"/>
        <v>2.5412452593312902</v>
      </c>
      <c r="V586" s="169">
        <f t="shared" si="150"/>
        <v>111.61736588630208</v>
      </c>
      <c r="W586" s="186">
        <f t="shared" si="148"/>
        <v>196.97715410945221</v>
      </c>
      <c r="X586" s="170">
        <f t="shared" si="149"/>
        <v>308.5945199957543</v>
      </c>
    </row>
    <row r="587" spans="17:25" ht="16" x14ac:dyDescent="0.3">
      <c r="S587" s="118" t="str">
        <f>IF($C$17&gt;=S572,SUM(S575:S586),"")</f>
        <v/>
      </c>
      <c r="T587" s="119" t="str">
        <f>IF($C$17&gt;=S572,SUM(T575:T586),"")</f>
        <v/>
      </c>
      <c r="U587" s="108">
        <f>IF(Y588="",0,AVERAGE(U575:U586))</f>
        <v>2.4617332263094469</v>
      </c>
      <c r="V587" s="120" t="str">
        <f>IF($C$17&gt;=S572,SUM(V575:V586),"")</f>
        <v/>
      </c>
      <c r="W587" s="121" t="str">
        <f>IF($C$17&gt;=S572,SUM(W575:W586),"")</f>
        <v/>
      </c>
      <c r="X587" s="121" t="str">
        <f>IF($C$17&gt;=S572,SUM(X575:X586),"")</f>
        <v/>
      </c>
    </row>
    <row r="588" spans="17:25" x14ac:dyDescent="0.15">
      <c r="W588" s="222" t="s">
        <v>53</v>
      </c>
      <c r="X588" s="117">
        <f>IF(AND($D$36="Yes",$D$38+1=S572,$C$17&gt;=S572),$B$38,0)</f>
        <v>0</v>
      </c>
      <c r="Y588" s="142">
        <f>IF(X587="",0,IF(AND($C$41="No",$D$36="No"),X587,IF(AND($C$41="Yes",$D$36="Yes"),(X587-X588)-($D$9+$B$38)*$E$41,IF(AND($C$41="Yes",$D$36="No"),X587-($D$9*$E$41),IF(AND($C$41="No",$D$36="Yes"),X587-X588,X587)))))</f>
        <v>0</v>
      </c>
    </row>
    <row r="589" spans="17:25" ht="14" thickBot="1" x14ac:dyDescent="0.2">
      <c r="Y589" s="245" t="s">
        <v>85</v>
      </c>
    </row>
    <row r="590" spans="17:25" ht="17" thickBot="1" x14ac:dyDescent="0.25">
      <c r="R590" s="126" t="s">
        <v>48</v>
      </c>
      <c r="S590" s="127">
        <v>30</v>
      </c>
      <c r="T590" s="154" t="s">
        <v>66</v>
      </c>
      <c r="U590" s="143">
        <f>U572-($C$34*U572)</f>
        <v>772.79523464335534</v>
      </c>
      <c r="V590" s="155" t="s">
        <v>68</v>
      </c>
      <c r="W590" s="185">
        <f>ROUND($C$22/12,15)</f>
        <v>5.8333333333329997E-3</v>
      </c>
      <c r="X590" s="261">
        <f>IF(X605="",0,Y573/POWER($C$34+1,1)/POWER($E$41+1,S590))</f>
        <v>0</v>
      </c>
      <c r="Y590" s="246">
        <f>U590*12</f>
        <v>9273.5428157202641</v>
      </c>
    </row>
    <row r="591" spans="17:25" x14ac:dyDescent="0.15">
      <c r="U591" s="183" t="s">
        <v>76</v>
      </c>
      <c r="V591" s="166">
        <f>IF(S590&lt;=$C$29,$C$26,IF(AND(S590&gt;$C$29,$B$32="Yes"),AVERAGE(U593:U604),$D$32))</f>
        <v>0.16</v>
      </c>
      <c r="Y591" s="250">
        <f>IF(X590&gt;0,($D$12)/POWER($C$34+1,S590),0)</f>
        <v>0</v>
      </c>
    </row>
    <row r="592" spans="17:25" x14ac:dyDescent="0.15">
      <c r="R592" s="122" t="s">
        <v>70</v>
      </c>
      <c r="S592" s="124">
        <f>$C$24</f>
        <v>0.9</v>
      </c>
      <c r="T592" s="125">
        <f>100%-$S$88</f>
        <v>9.9999999999999978E-2</v>
      </c>
      <c r="U592" t="s">
        <v>72</v>
      </c>
      <c r="V592" s="114" t="s">
        <v>71</v>
      </c>
      <c r="W592" s="114" t="s">
        <v>67</v>
      </c>
      <c r="X592" s="123" t="s">
        <v>69</v>
      </c>
    </row>
    <row r="593" spans="17:25" x14ac:dyDescent="0.15">
      <c r="Q593">
        <f>Q586+1</f>
        <v>348</v>
      </c>
      <c r="R593" s="166">
        <v>1</v>
      </c>
      <c r="S593" s="1">
        <f>$U$590*$C$24</f>
        <v>695.51571117901983</v>
      </c>
      <c r="T593" s="167">
        <f>$U$590*(100%-$C$24)</f>
        <v>77.279523464335512</v>
      </c>
      <c r="U593" s="168">
        <f>ROUND(U586*(1+$W$590),60)</f>
        <v>2.55606919001072</v>
      </c>
      <c r="V593" s="169">
        <f>S593*$V$591</f>
        <v>111.28251378864317</v>
      </c>
      <c r="W593" s="186">
        <f t="shared" ref="W593:W604" si="153">T593*U593</f>
        <v>197.53180894589849</v>
      </c>
      <c r="X593" s="170">
        <f t="shared" ref="X593:X604" si="154">W593+V593</f>
        <v>308.81432273454163</v>
      </c>
    </row>
    <row r="594" spans="17:25" x14ac:dyDescent="0.15">
      <c r="Q594">
        <f>Q593+1</f>
        <v>349</v>
      </c>
      <c r="R594" s="166">
        <v>2</v>
      </c>
      <c r="S594" s="1">
        <f>$U$590*$C$24</f>
        <v>695.51571117901983</v>
      </c>
      <c r="T594" s="167">
        <f>$U$590*(100%-$C$24)</f>
        <v>77.279523464335512</v>
      </c>
      <c r="U594" s="168">
        <f>ROUND(U593*(1+$W$590),60)</f>
        <v>2.5709795936191102</v>
      </c>
      <c r="V594" s="169">
        <f t="shared" ref="V594:V604" si="155">S594*$V$591</f>
        <v>111.28251378864317</v>
      </c>
      <c r="W594" s="186">
        <f t="shared" si="153"/>
        <v>198.68407783141581</v>
      </c>
      <c r="X594" s="170">
        <f t="shared" si="154"/>
        <v>309.96659162005898</v>
      </c>
    </row>
    <row r="595" spans="17:25" x14ac:dyDescent="0.15">
      <c r="Q595">
        <f t="shared" ref="Q595:Q604" si="156">Q594+1</f>
        <v>350</v>
      </c>
      <c r="R595" s="166">
        <v>3</v>
      </c>
      <c r="S595" s="1">
        <f>$U$590*$C$24</f>
        <v>695.51571117901983</v>
      </c>
      <c r="T595" s="167">
        <f>$U$590*(100%-$C$24)</f>
        <v>77.279523464335512</v>
      </c>
      <c r="U595" s="168">
        <f t="shared" ref="U595:U604" si="157">ROUND(U594*(1+$W$590),60)</f>
        <v>2.5859769745818899</v>
      </c>
      <c r="V595" s="169">
        <f t="shared" si="155"/>
        <v>111.28251378864317</v>
      </c>
      <c r="W595" s="186">
        <f t="shared" si="153"/>
        <v>199.84306828543251</v>
      </c>
      <c r="X595" s="170">
        <f t="shared" si="154"/>
        <v>311.12558207407568</v>
      </c>
    </row>
    <row r="596" spans="17:25" x14ac:dyDescent="0.15">
      <c r="Q596">
        <f t="shared" si="156"/>
        <v>351</v>
      </c>
      <c r="R596" s="166">
        <v>4</v>
      </c>
      <c r="S596" s="1">
        <f>$U$590*$C$24</f>
        <v>695.51571117901983</v>
      </c>
      <c r="T596" s="167">
        <f>$U$590*(100%-$C$24)</f>
        <v>77.279523464335512</v>
      </c>
      <c r="U596" s="168">
        <f t="shared" si="157"/>
        <v>2.6010618402669499</v>
      </c>
      <c r="V596" s="169">
        <f t="shared" si="155"/>
        <v>111.28251378864317</v>
      </c>
      <c r="W596" s="186">
        <f t="shared" si="153"/>
        <v>201.00881951709746</v>
      </c>
      <c r="X596" s="170">
        <f t="shared" si="154"/>
        <v>312.29133330574064</v>
      </c>
    </row>
    <row r="597" spans="17:25" x14ac:dyDescent="0.15">
      <c r="Q597">
        <f t="shared" si="156"/>
        <v>352</v>
      </c>
      <c r="R597" s="166">
        <v>5</v>
      </c>
      <c r="S597" s="1">
        <f>$U$590*$C$24</f>
        <v>695.51571117901983</v>
      </c>
      <c r="T597" s="167">
        <f>$U$590*(100%-$C$24)</f>
        <v>77.279523464335512</v>
      </c>
      <c r="U597" s="168">
        <f t="shared" si="157"/>
        <v>2.6162347010018401</v>
      </c>
      <c r="V597" s="169">
        <f t="shared" si="155"/>
        <v>111.28251378864317</v>
      </c>
      <c r="W597" s="186">
        <f t="shared" si="153"/>
        <v>202.18137096428049</v>
      </c>
      <c r="X597" s="170">
        <f t="shared" si="154"/>
        <v>313.46388475292366</v>
      </c>
    </row>
    <row r="598" spans="17:25" x14ac:dyDescent="0.15">
      <c r="Q598">
        <f t="shared" si="156"/>
        <v>353</v>
      </c>
      <c r="R598" s="166">
        <v>6</v>
      </c>
      <c r="S598" s="1">
        <f>$U$590*$C$24</f>
        <v>695.51571117901983</v>
      </c>
      <c r="T598" s="167">
        <f>$U$590*(100%-$C$24)</f>
        <v>77.279523464335512</v>
      </c>
      <c r="U598" s="168">
        <f t="shared" si="157"/>
        <v>2.6314960700910199</v>
      </c>
      <c r="V598" s="169">
        <f t="shared" si="155"/>
        <v>111.28251378864317</v>
      </c>
      <c r="W598" s="186">
        <f t="shared" si="153"/>
        <v>203.36076229490567</v>
      </c>
      <c r="X598" s="170">
        <f t="shared" si="154"/>
        <v>314.64327608354881</v>
      </c>
    </row>
    <row r="599" spans="17:25" x14ac:dyDescent="0.15">
      <c r="Q599">
        <f t="shared" si="156"/>
        <v>354</v>
      </c>
      <c r="R599" s="166">
        <v>7</v>
      </c>
      <c r="S599" s="1">
        <f>$U$590*$C$24</f>
        <v>695.51571117901983</v>
      </c>
      <c r="T599" s="167">
        <f>$U$590*(100%-$C$24)</f>
        <v>77.279523464335512</v>
      </c>
      <c r="U599" s="168">
        <f t="shared" si="157"/>
        <v>2.6468464638332199</v>
      </c>
      <c r="V599" s="169">
        <f t="shared" si="155"/>
        <v>111.28251378864317</v>
      </c>
      <c r="W599" s="186">
        <f t="shared" si="153"/>
        <v>204.54703340829278</v>
      </c>
      <c r="X599" s="170">
        <f t="shared" si="154"/>
        <v>315.82954719693595</v>
      </c>
    </row>
    <row r="600" spans="17:25" x14ac:dyDescent="0.15">
      <c r="Q600">
        <f t="shared" si="156"/>
        <v>355</v>
      </c>
      <c r="R600" s="166">
        <v>8</v>
      </c>
      <c r="S600" s="1">
        <f>$U$590*$C$24</f>
        <v>695.51571117901983</v>
      </c>
      <c r="T600" s="167">
        <f>$U$590*(100%-$C$24)</f>
        <v>77.279523464335512</v>
      </c>
      <c r="U600" s="168">
        <f t="shared" si="157"/>
        <v>2.6622864015389101</v>
      </c>
      <c r="V600" s="169">
        <f t="shared" si="155"/>
        <v>111.28251378864317</v>
      </c>
      <c r="W600" s="186">
        <f t="shared" si="153"/>
        <v>205.74022443650756</v>
      </c>
      <c r="X600" s="170">
        <f t="shared" si="154"/>
        <v>317.02273822515076</v>
      </c>
    </row>
    <row r="601" spans="17:25" x14ac:dyDescent="0.15">
      <c r="Q601">
        <f t="shared" si="156"/>
        <v>356</v>
      </c>
      <c r="R601" s="166">
        <v>9</v>
      </c>
      <c r="S601" s="1">
        <f>$U$590*$C$24</f>
        <v>695.51571117901983</v>
      </c>
      <c r="T601" s="167">
        <f>$U$590*(100%-$C$24)</f>
        <v>77.279523464335512</v>
      </c>
      <c r="U601" s="168">
        <f t="shared" si="157"/>
        <v>2.6778164055478899</v>
      </c>
      <c r="V601" s="169">
        <f t="shared" si="155"/>
        <v>111.28251378864317</v>
      </c>
      <c r="W601" s="186">
        <f t="shared" si="153"/>
        <v>206.94037574572073</v>
      </c>
      <c r="X601" s="170">
        <f t="shared" si="154"/>
        <v>318.2228895343639</v>
      </c>
    </row>
    <row r="602" spans="17:25" x14ac:dyDescent="0.15">
      <c r="Q602">
        <f t="shared" si="156"/>
        <v>357</v>
      </c>
      <c r="R602" s="166">
        <v>10</v>
      </c>
      <c r="S602" s="1">
        <f>$U$590*$C$24</f>
        <v>695.51571117901983</v>
      </c>
      <c r="T602" s="167">
        <f>$U$590*(100%-$C$24)</f>
        <v>77.279523464335512</v>
      </c>
      <c r="U602" s="168">
        <f t="shared" si="157"/>
        <v>2.6934370012469202</v>
      </c>
      <c r="V602" s="169">
        <f t="shared" si="155"/>
        <v>111.28251378864317</v>
      </c>
      <c r="W602" s="186">
        <f t="shared" si="153"/>
        <v>208.14752793757086</v>
      </c>
      <c r="X602" s="170">
        <f t="shared" si="154"/>
        <v>319.43004172621403</v>
      </c>
    </row>
    <row r="603" spans="17:25" x14ac:dyDescent="0.15">
      <c r="Q603">
        <f t="shared" si="156"/>
        <v>358</v>
      </c>
      <c r="R603" s="166">
        <v>11</v>
      </c>
      <c r="S603" s="1">
        <f>$U$590*$C$24</f>
        <v>695.51571117901983</v>
      </c>
      <c r="T603" s="167">
        <f>$U$590*(100%-$C$24)</f>
        <v>77.279523464335512</v>
      </c>
      <c r="U603" s="168">
        <f t="shared" si="157"/>
        <v>2.7091487170875301</v>
      </c>
      <c r="V603" s="169">
        <f t="shared" si="155"/>
        <v>111.28251378864317</v>
      </c>
      <c r="W603" s="186">
        <f t="shared" si="153"/>
        <v>209.36172185054022</v>
      </c>
      <c r="X603" s="170">
        <f t="shared" si="154"/>
        <v>320.64423563918342</v>
      </c>
    </row>
    <row r="604" spans="17:25" x14ac:dyDescent="0.15">
      <c r="Q604">
        <f t="shared" si="156"/>
        <v>359</v>
      </c>
      <c r="R604" s="166">
        <v>12</v>
      </c>
      <c r="S604" s="1">
        <f>$U$590*$C$24</f>
        <v>695.51571117901983</v>
      </c>
      <c r="T604" s="167">
        <f>$U$590*(100%-$C$24)</f>
        <v>77.279523464335512</v>
      </c>
      <c r="U604" s="168">
        <f t="shared" si="157"/>
        <v>2.7249520846038702</v>
      </c>
      <c r="V604" s="169">
        <f t="shared" si="155"/>
        <v>111.28251378864317</v>
      </c>
      <c r="W604" s="186">
        <f t="shared" si="153"/>
        <v>210.58299856133476</v>
      </c>
      <c r="X604" s="170">
        <f t="shared" si="154"/>
        <v>321.86551234997796</v>
      </c>
    </row>
    <row r="605" spans="17:25" ht="16" x14ac:dyDescent="0.3">
      <c r="S605" s="118" t="str">
        <f>IF($C$17&gt;=S590,SUM(S593:S604),"")</f>
        <v/>
      </c>
      <c r="T605" s="119" t="str">
        <f>IF($C$17&gt;=S590,SUM(T593:T604),"")</f>
        <v/>
      </c>
      <c r="U605" s="108">
        <f>IF(Y606="",0,AVERAGE(U593:U604))</f>
        <v>2.6396921202858223</v>
      </c>
      <c r="V605" s="120" t="str">
        <f>IF($C$17&gt;=S590,SUM(V593:V604),"")</f>
        <v/>
      </c>
      <c r="W605" s="121" t="str">
        <f>IF($C$17&gt;=S590,SUM(W593:W604),"")</f>
        <v/>
      </c>
      <c r="X605" s="121" t="str">
        <f>IF($C$17&gt;=S590,SUM(X593:X604),"")</f>
        <v/>
      </c>
    </row>
    <row r="606" spans="17:25" x14ac:dyDescent="0.15">
      <c r="W606" s="222" t="s">
        <v>53</v>
      </c>
      <c r="X606" s="117">
        <f>IF(AND($D$36="Yes",$D$38+1=S590,$C$17&gt;=S590),$B$38,0)</f>
        <v>0</v>
      </c>
      <c r="Y606" s="142">
        <f>IF(X605="",0,IF(AND($C$41="No",$D$36="No"),X605,IF(AND($C$41="Yes",$D$36="Yes"),(X605-X606)-($D$9+$B$38)*$E$41,IF(AND($C$41="Yes",$D$36="No"),X605-($D$9*$E$41),IF(AND($C$41="No",$D$36="Yes"),X605-X606,X605)))))</f>
        <v>0</v>
      </c>
    </row>
    <row r="608" spans="17:25" ht="14" thickBot="1" x14ac:dyDescent="0.2"/>
    <row r="609" spans="15:48" ht="14" thickBot="1" x14ac:dyDescent="0.2">
      <c r="R609" s="149" t="s">
        <v>73</v>
      </c>
    </row>
    <row r="610" spans="15:48" ht="14" thickBot="1" x14ac:dyDescent="0.2">
      <c r="R610" s="148">
        <v>1</v>
      </c>
      <c r="S610" s="144">
        <v>2</v>
      </c>
      <c r="T610" s="144">
        <v>3</v>
      </c>
      <c r="U610" s="144">
        <v>4</v>
      </c>
      <c r="V610" s="144">
        <v>5</v>
      </c>
      <c r="W610" s="223">
        <v>6</v>
      </c>
      <c r="X610" s="144">
        <v>7</v>
      </c>
      <c r="Y610" s="144">
        <v>8</v>
      </c>
      <c r="Z610" s="144">
        <v>9</v>
      </c>
      <c r="AA610" s="144">
        <v>10</v>
      </c>
      <c r="AB610" s="144">
        <v>11</v>
      </c>
      <c r="AC610" s="144">
        <v>12</v>
      </c>
      <c r="AD610" s="144">
        <v>13</v>
      </c>
      <c r="AE610" s="144">
        <v>14</v>
      </c>
      <c r="AF610" s="144">
        <v>15</v>
      </c>
      <c r="AG610" s="144">
        <v>16</v>
      </c>
      <c r="AH610" s="144">
        <v>17</v>
      </c>
      <c r="AI610" s="144">
        <v>18</v>
      </c>
      <c r="AJ610" s="144">
        <v>19</v>
      </c>
      <c r="AK610" s="144">
        <v>20</v>
      </c>
      <c r="AL610" s="144">
        <v>21</v>
      </c>
      <c r="AM610" s="144">
        <v>22</v>
      </c>
      <c r="AN610" s="144">
        <v>23</v>
      </c>
      <c r="AO610" s="144">
        <v>24</v>
      </c>
      <c r="AP610" s="144">
        <v>25</v>
      </c>
      <c r="AQ610" s="144">
        <v>26</v>
      </c>
      <c r="AR610" s="144">
        <v>27</v>
      </c>
      <c r="AS610" s="144">
        <v>28</v>
      </c>
      <c r="AT610" s="144">
        <v>29</v>
      </c>
      <c r="AU610" s="144">
        <v>30</v>
      </c>
    </row>
    <row r="611" spans="15:48" x14ac:dyDescent="0.15">
      <c r="R611" s="145">
        <f>Y84+X84</f>
        <v>1821.2040000000004</v>
      </c>
      <c r="S611" s="146">
        <f>Y102+X102</f>
        <v>1829.8086044266195</v>
      </c>
      <c r="T611" s="146">
        <f>Y120+X120</f>
        <v>1851.5063680196249</v>
      </c>
      <c r="U611" s="146">
        <f>Y138+X138</f>
        <v>1875.0169447817048</v>
      </c>
      <c r="V611" s="146">
        <f>Y156+X156</f>
        <v>1900.4646093017659</v>
      </c>
      <c r="W611" s="224">
        <f>Y174+X174</f>
        <v>1927.9822230402815</v>
      </c>
      <c r="X611" s="146">
        <f>Y192+X192</f>
        <v>1957.7118274435932</v>
      </c>
      <c r="Y611" s="146">
        <f>Y210+X210</f>
        <v>1989.8052780265602</v>
      </c>
      <c r="Z611" s="146">
        <f>Y228+X228</f>
        <v>2024.4249222533485</v>
      </c>
      <c r="AA611" s="146">
        <f>Y246+X246</f>
        <v>2061.7443242416512</v>
      </c>
      <c r="AB611" s="147">
        <f>Y264+X264</f>
        <v>2101.9490395245821</v>
      </c>
      <c r="AC611" s="147">
        <f>Y282+X282</f>
        <v>2145.2374433278833</v>
      </c>
      <c r="AD611" s="147">
        <f>Y300+X300</f>
        <v>2191.8216160589282</v>
      </c>
      <c r="AE611" s="147">
        <f>Y318+X318</f>
        <v>2241.928289959315</v>
      </c>
      <c r="AF611" s="147">
        <f>Y336+X336</f>
        <v>2295.7998611458115</v>
      </c>
      <c r="AG611" s="147">
        <f>Y354+X354</f>
        <v>2353.6954715562665</v>
      </c>
      <c r="AH611" s="208">
        <f>Y372+X372</f>
        <v>2415.8921656290076</v>
      </c>
      <c r="AI611" s="147">
        <f>Y390+X390</f>
        <v>2482.6861268777579</v>
      </c>
      <c r="AJ611" s="147">
        <f>Y408+X408</f>
        <v>2554.3939998809442</v>
      </c>
      <c r="AK611" s="147">
        <f>Y426+X426</f>
        <v>2631.3543035849139</v>
      </c>
      <c r="AL611" s="147">
        <f>Y444+X444</f>
        <v>2713.9289422286465</v>
      </c>
      <c r="AM611" s="147">
        <f>Y462+X462</f>
        <v>2802.5048206328479</v>
      </c>
      <c r="AN611" s="147">
        <f>Y480+X480</f>
        <v>2897.4955710623894</v>
      </c>
      <c r="AO611" s="147">
        <f>Y498+X498</f>
        <v>2999.3433993685803</v>
      </c>
      <c r="AP611" s="147">
        <f>Y516+X516</f>
        <v>3108.5210586504941</v>
      </c>
      <c r="AQ611" s="147">
        <f>Y534+X534</f>
        <v>0</v>
      </c>
      <c r="AR611" s="147">
        <f>Y552+X552</f>
        <v>0</v>
      </c>
      <c r="AS611" s="147">
        <f>Y570+X570</f>
        <v>0</v>
      </c>
      <c r="AT611" s="147">
        <f>Y588+X588</f>
        <v>0</v>
      </c>
      <c r="AU611" s="147">
        <f>Y606+X606</f>
        <v>0</v>
      </c>
    </row>
    <row r="612" spans="15:48" x14ac:dyDescent="0.15">
      <c r="O612" s="289" t="s">
        <v>74</v>
      </c>
      <c r="P612" s="289"/>
      <c r="Q612" s="289"/>
      <c r="R612" s="152">
        <f>SUM(R611:AU611)</f>
        <v>57176.221211023527</v>
      </c>
      <c r="X612" s="117"/>
    </row>
    <row r="613" spans="15:48" x14ac:dyDescent="0.15">
      <c r="O613" s="288" t="s">
        <v>54</v>
      </c>
      <c r="P613" s="288"/>
      <c r="Q613" s="150">
        <f>IF(D36="Yes",-D9-800,-D9)</f>
        <v>-7800</v>
      </c>
      <c r="R613" s="150">
        <f>R611</f>
        <v>1821.2040000000004</v>
      </c>
      <c r="S613" s="150">
        <f t="shared" ref="S613:AU613" si="158">S611</f>
        <v>1829.8086044266195</v>
      </c>
      <c r="T613" s="150">
        <f t="shared" si="158"/>
        <v>1851.5063680196249</v>
      </c>
      <c r="U613" s="150">
        <f t="shared" si="158"/>
        <v>1875.0169447817048</v>
      </c>
      <c r="V613" s="150">
        <f t="shared" si="158"/>
        <v>1900.4646093017659</v>
      </c>
      <c r="W613" s="150">
        <f t="shared" si="158"/>
        <v>1927.9822230402815</v>
      </c>
      <c r="X613" s="150">
        <f t="shared" si="158"/>
        <v>1957.7118274435932</v>
      </c>
      <c r="Y613" s="150"/>
      <c r="Z613" s="150">
        <f t="shared" si="158"/>
        <v>2024.4249222533485</v>
      </c>
      <c r="AA613" s="150">
        <f t="shared" si="158"/>
        <v>2061.7443242416512</v>
      </c>
      <c r="AB613" s="150">
        <f t="shared" si="158"/>
        <v>2101.9490395245821</v>
      </c>
      <c r="AC613" s="150">
        <f t="shared" si="158"/>
        <v>2145.2374433278833</v>
      </c>
      <c r="AD613" s="150">
        <f t="shared" si="158"/>
        <v>2191.8216160589282</v>
      </c>
      <c r="AE613" s="150">
        <f t="shared" si="158"/>
        <v>2241.928289959315</v>
      </c>
      <c r="AF613" s="150">
        <f t="shared" si="158"/>
        <v>2295.7998611458115</v>
      </c>
      <c r="AG613" s="150">
        <f t="shared" si="158"/>
        <v>2353.6954715562665</v>
      </c>
      <c r="AH613" s="150">
        <f t="shared" si="158"/>
        <v>2415.8921656290076</v>
      </c>
      <c r="AI613" s="150">
        <f t="shared" si="158"/>
        <v>2482.6861268777579</v>
      </c>
      <c r="AJ613" s="150">
        <f t="shared" si="158"/>
        <v>2554.3939998809442</v>
      </c>
      <c r="AK613" s="150">
        <f t="shared" si="158"/>
        <v>2631.3543035849139</v>
      </c>
      <c r="AL613" s="150">
        <f t="shared" si="158"/>
        <v>2713.9289422286465</v>
      </c>
      <c r="AM613" s="150">
        <f t="shared" si="158"/>
        <v>2802.5048206328479</v>
      </c>
      <c r="AN613" s="150">
        <f t="shared" si="158"/>
        <v>2897.4955710623894</v>
      </c>
      <c r="AO613" s="150">
        <f t="shared" si="158"/>
        <v>2999.3433993685803</v>
      </c>
      <c r="AP613" s="150">
        <f t="shared" si="158"/>
        <v>3108.5210586504941</v>
      </c>
      <c r="AQ613" s="150">
        <f t="shared" si="158"/>
        <v>0</v>
      </c>
      <c r="AR613" s="150">
        <f t="shared" si="158"/>
        <v>0</v>
      </c>
      <c r="AS613" s="150">
        <f t="shared" si="158"/>
        <v>0</v>
      </c>
      <c r="AT613" s="150">
        <f t="shared" si="158"/>
        <v>0</v>
      </c>
      <c r="AU613" s="150">
        <f t="shared" si="158"/>
        <v>0</v>
      </c>
      <c r="AV613" s="136"/>
    </row>
    <row r="614" spans="15:48" x14ac:dyDescent="0.15">
      <c r="O614" s="288" t="s">
        <v>55</v>
      </c>
      <c r="P614" s="288"/>
      <c r="Q614" s="290"/>
      <c r="R614" s="228">
        <f>IF(R611&lt;F47,1,0)</f>
        <v>1</v>
      </c>
      <c r="S614" s="228">
        <f>IF(AND($D$36="No",$F$47&gt;R616),1,IF(AND($D$36="Yes",$F$47&gt;S616),1,0))</f>
        <v>1</v>
      </c>
      <c r="T614" s="228">
        <f t="shared" ref="T614:X614" si="159">IF(AND($D$36="No",$F$47&gt;S616),1,IF(AND($D$36="Yes",$F$47&gt;T616),1,0))</f>
        <v>1</v>
      </c>
      <c r="U614" s="228">
        <f t="shared" si="159"/>
        <v>1</v>
      </c>
      <c r="V614" s="228">
        <f t="shared" si="159"/>
        <v>0</v>
      </c>
      <c r="W614" s="228">
        <f t="shared" si="159"/>
        <v>0</v>
      </c>
      <c r="X614" s="228">
        <f t="shared" si="159"/>
        <v>0</v>
      </c>
      <c r="Y614" s="228">
        <f>IF(AND($D$36="No",$F$47&gt;X616),1,IF(AND($D$36="Yes",$F$47&gt;Y616),1,0))</f>
        <v>0</v>
      </c>
      <c r="Z614" s="228">
        <f t="shared" ref="Z614:AA614" si="160">IF(AND($D$36="No",$F$47&gt;Y616),1,IF(AND($D$36="Yes",$F$47&gt;Z616),1,0))</f>
        <v>0</v>
      </c>
      <c r="AA614" s="228">
        <f t="shared" si="160"/>
        <v>0</v>
      </c>
      <c r="AB614" s="228">
        <f>IF(AND($F$47&gt;=SUM($R$611:AA611),$F$47&lt;=SUM($R$611:AB611)),0,IF(AND($F$47&gt;=SUM($R$611:AA611),$F$47&gt;=SUM($R$611:AB611)),1,0))</f>
        <v>0</v>
      </c>
      <c r="AC614" s="228">
        <f>IF(AND($F$47&gt;=SUM($R$611:AB611),$F$47&lt;=SUM($R$611:AC611)),0,IF(AND($F$47&gt;=SUM($R$611:AB611),$F$47&gt;=SUM($R$611:AC611)),1,0))</f>
        <v>0</v>
      </c>
      <c r="AD614" s="228">
        <f>IF(AND($F$47&gt;=SUM($R$611:AC611),$F$47&lt;=SUM($R$611:AD611)),0,IF(AND($F$47&gt;=SUM($R$611:AC611),$F$47&gt;=SUM($R$611:AD611)),1,0))</f>
        <v>0</v>
      </c>
      <c r="AE614" s="228">
        <f>IF(AND($F$47&gt;=SUM($R$611:AD611),$F$47&lt;=SUM($R$611:AE611)),0,IF(AND($F$47&gt;=SUM($R$611:AD611),$F$47&gt;=SUM($R$611:AE611)),1,0))</f>
        <v>0</v>
      </c>
      <c r="AF614" s="228">
        <f>IF(AND($F$47&gt;=SUM($R$611:AE611),$F$47&lt;=SUM($R$611:AF611)),0,IF(AND($F$47&gt;=SUM($R$611:AE611),$F$47&gt;=SUM($R$611:AF611)),1,0))</f>
        <v>0</v>
      </c>
      <c r="AG614" s="228">
        <f>IF(AND($F$47&gt;=SUM($R$611:AF611),$F$47&lt;=SUM($R$611:AG611)),0,IF(AND($F$47&gt;=SUM($R$611:AF611),$F$47&gt;=SUM($R$611:AG611)),1,0))</f>
        <v>0</v>
      </c>
      <c r="AH614" s="228">
        <f>IF(AND($F$47&gt;=SUM($R$611:AG611),$F$47&lt;=SUM($R$611:AH611)),0,IF(AND($F$47&gt;=SUM($R$611:AG611),$F$47&gt;=SUM($R$611:AH611)),1,0))</f>
        <v>0</v>
      </c>
      <c r="AI614" s="228">
        <f>IF(AND($F$47&gt;=SUM($R$611:AH611),$F$47&lt;=SUM($R$611:AI611)),0,IF(AND($F$47&gt;=SUM($R$611:AH611),$F$47&gt;=SUM($R$611:AI611)),1,0))</f>
        <v>0</v>
      </c>
      <c r="AJ614" s="228">
        <f>IF(AND($F$47&gt;=SUM($R$611:AI611),$F$47&lt;=SUM($R$611:AJ611)),0,IF(AND($F$47&gt;=SUM($R$611:AI611),$F$47&gt;=SUM($R$611:AJ611)),1,0))</f>
        <v>0</v>
      </c>
      <c r="AK614" s="228">
        <f>IF(AND($F$47&gt;=SUM($R$611:AJ611),$F$47&lt;=SUM($R$611:AK611)),0,IF(AND($F$47&gt;=SUM($R$611:AJ611),$F$47&gt;=SUM($R$611:AK611)),1,0))</f>
        <v>0</v>
      </c>
      <c r="AL614" s="228">
        <f>IF(AND($F$47&gt;=SUM($R$611:AK611),$F$47&lt;=SUM($R$611:AL611)),0,IF(AND($F$47&gt;=SUM($R$611:AK611),$F$47&gt;=SUM($R$611:AL611)),1,0))</f>
        <v>0</v>
      </c>
      <c r="AM614" s="228">
        <f>IF(AND($F$47&gt;=SUM($R$611:AL611),$F$47&lt;=SUM($R$611:AM611)),0,IF(AND($F$47&gt;=SUM($R$611:AL611),$F$47&gt;=SUM($R$611:AM611)),1,0))</f>
        <v>0</v>
      </c>
      <c r="AN614" s="228">
        <f>IF(AND($F$47&gt;=SUM($R$611:AM611),$F$47&lt;=SUM($R$611:AN611)),0,IF(AND($F$47&gt;=SUM($R$611:AM611),$F$47&gt;=SUM($R$611:AN611)),1,0))</f>
        <v>0</v>
      </c>
      <c r="AO614" s="228">
        <f>IF(AND($F$47&gt;=SUM($R$611:AN611),$F$47&lt;=SUM($R$611:AO611)),0,IF(AND($F$47&gt;=SUM($R$611:AN611),$F$47&gt;=SUM($R$611:AO611)),1,0))</f>
        <v>0</v>
      </c>
      <c r="AP614" s="228">
        <f>IF(AND($F$47&gt;=SUM($R$611:AO611),$F$47&lt;=SUM($R$611:AP611)),0,IF(AND($F$47&gt;=SUM($R$611:AO611),$F$47&gt;=SUM($R$611:AP611)),1,0))</f>
        <v>0</v>
      </c>
      <c r="AQ614" s="228">
        <f>IF(AND($F$47&gt;=SUM($R$611:AP611),$F$47&lt;=SUM($R$611:AQ611)),0,IF(AND($F$47&gt;=SUM($R$611:AP611),$F$47&gt;=SUM($R$611:AQ611)),1,0))</f>
        <v>0</v>
      </c>
      <c r="AR614" s="228">
        <f>IF(AND($F$47&gt;=SUM($R$611:AQ611),$F$47&lt;=SUM($R$611:AR611)),0,IF(AND($F$47&gt;=SUM($R$611:AQ611),$F$47&gt;=SUM($R$611:AR611)),1,0))</f>
        <v>0</v>
      </c>
      <c r="AS614" s="228">
        <f>IF(AND($F$47&gt;=SUM($R$611:AR611),$F$47&lt;=SUM($R$611:AS611)),0,IF(AND($F$47&gt;=SUM($R$611:AR611),$F$47&gt;=SUM($R$611:AS611)),1,0))</f>
        <v>0</v>
      </c>
      <c r="AT614" s="228">
        <f>IF(AND($F$47&gt;=SUM($R$611:AS611),$F$47&lt;=SUM($R$611:AT611)),0,IF(AND($F$47&gt;=SUM($R$611:AS611),$F$47&gt;=SUM($R$611:AT611)),1,0))</f>
        <v>0</v>
      </c>
      <c r="AU614" s="228">
        <f>IF(AND($F$47&gt;=SUM($R$611:AT611),$F$47&lt;=SUM($R$611:AU611)),0,IF(AND($F$47&gt;=SUM($R$611:AT611),$F$47&gt;=SUM($R$611:AU611)),1,0))</f>
        <v>0</v>
      </c>
    </row>
    <row r="615" spans="15:48" x14ac:dyDescent="0.15">
      <c r="Q615" s="229" t="s">
        <v>79</v>
      </c>
      <c r="R615" s="1">
        <f>IF(AND($D$36="Yes",$D$38+1=R610,$C$17&gt;$D$38),R611-$B$38,R611)</f>
        <v>1821.2040000000004</v>
      </c>
      <c r="S615" s="1">
        <f>IF(AND($D$36="Yes",$D$38+1=S610,$C$17&gt;$D$38),S611-$B$38,S611)</f>
        <v>1829.8086044266195</v>
      </c>
      <c r="T615" s="1">
        <f>IF(AND($D$36="Yes",$D$38+1=T610,$C$17&gt;$D$38),T611-$B$38,T611)</f>
        <v>1851.5063680196249</v>
      </c>
      <c r="U615" s="1">
        <f>IF(AND($D$36="Yes",$D$38+1=U610,$C$17&gt;$D$38),U611-$B$38,U611)</f>
        <v>1875.0169447817048</v>
      </c>
      <c r="V615" s="1">
        <f>IF(AND($D$36="Yes",$D$38+1=V610,$C$17&gt;$D$38),V611-$B$38,V611)</f>
        <v>1900.4646093017659</v>
      </c>
      <c r="W615" s="1">
        <f>IF(AND($D$36="Yes",$D$38+1=W610,$C$17&gt;$D$38),W611-$B$38,W611)</f>
        <v>1927.9822230402815</v>
      </c>
      <c r="X615" s="1">
        <f>IF(AND($D$36="Yes",$D$38+1=X610,$C$17&gt;$D$38),X611-$B$38,X611)</f>
        <v>1957.7118274435932</v>
      </c>
      <c r="Y615" s="1">
        <f>IF(AND($D$36="Yes",$D$38+1=Y610,$C$17&gt;$D$38),Y611-$B$38,Y611)</f>
        <v>1989.8052780265602</v>
      </c>
      <c r="Z615" s="1">
        <f>IF(AND($D$36="Yes",$D$38+1=Z610,$C$17&gt;$D$38),Z611-$B$38,Z611)</f>
        <v>2024.4249222533485</v>
      </c>
      <c r="AA615" s="1">
        <f>IF(AND($D$36="Yes",$D$38+1=AA610,$C$17&gt;$D$38),AA611-$B$38,AA611)</f>
        <v>2061.7443242416512</v>
      </c>
      <c r="AB615" s="1">
        <f>IF(AND($D$36="Yes",$D$38+1=AB610,$C$17&gt;$D$38),AB611-$B$38,AB611)</f>
        <v>2101.9490395245821</v>
      </c>
      <c r="AC615" s="1">
        <f>IF(AND($D$36="Yes",$D$38+1=AC610,$C$17&gt;$D$38),AC611-$B$38,AC611)</f>
        <v>2145.2374433278833</v>
      </c>
      <c r="AD615" s="1">
        <f>IF(AND($D$36="Yes",$D$38+1=AD610,$C$17&gt;$D$38),AD611-$B$38,AD611)</f>
        <v>2191.8216160589282</v>
      </c>
      <c r="AE615" s="1">
        <f>IF(AND($D$36="Yes",$D$38+1=AE610,$C$17&gt;$D$38),AE611-$B$38,AE611)</f>
        <v>2241.928289959315</v>
      </c>
      <c r="AF615" s="1">
        <f>IF(AND($D$36="Yes",$D$38+1=AF610,$C$17&gt;$D$38),AF611-$B$38,AF611)</f>
        <v>2295.7998611458115</v>
      </c>
      <c r="AG615" s="1">
        <f>IF(AND($D$36="Yes",$D$38+1=AG610,$C$17&gt;$D$38),AG611-$B$38,AG611)</f>
        <v>1553.6954715562665</v>
      </c>
      <c r="AH615" s="1">
        <f>IF(AND($D$36="Yes",$D$38+1=AH610,$C$17&gt;$D$38),AH611-$B$38,AH611)</f>
        <v>2415.8921656290076</v>
      </c>
      <c r="AI615" s="1">
        <f>IF(AND($D$36="Yes",$D$38+1=AI610,$C$17&gt;$D$38),AI611-$B$38,AI611)</f>
        <v>2482.6861268777579</v>
      </c>
      <c r="AJ615" s="1">
        <f>IF(AND($D$36="Yes",$D$38+1=AJ610,$C$17&gt;$D$38),AJ611-$B$38,AJ611)</f>
        <v>2554.3939998809442</v>
      </c>
      <c r="AK615" s="1">
        <f>IF(AND($D$36="Yes",$D$38+1=AK610,$C$17&gt;$D$38),AK611-$B$38,AK611)</f>
        <v>2631.3543035849139</v>
      </c>
      <c r="AL615" s="1">
        <f>IF(AND($D$36="Yes",$D$38+1=AL610,$C$17&gt;$D$38),AL611-$B$38,AL611)</f>
        <v>2713.9289422286465</v>
      </c>
      <c r="AM615" s="1">
        <f>IF(AND($D$36="Yes",$D$38+1=AM610,$C$17&gt;$D$38),AM611-$B$38,AM611)</f>
        <v>2802.5048206328479</v>
      </c>
      <c r="AN615" s="1">
        <f>IF(AND($D$36="Yes",$D$38+1=AN610,$C$17&gt;$D$38),AN611-$B$38,AN611)</f>
        <v>2897.4955710623894</v>
      </c>
      <c r="AO615" s="1">
        <f>IF(AND($D$36="Yes",$D$38+1=AO610,$C$17&gt;$D$38),AO611-$B$38,AO611)</f>
        <v>2999.3433993685803</v>
      </c>
      <c r="AP615" s="1">
        <f>IF(AND($D$36="Yes",$D$38+1=AP610,$C$17&gt;$D$38),AP611-$B$38,AP611)</f>
        <v>3108.5210586504941</v>
      </c>
      <c r="AQ615" s="1">
        <f>IF(AND($D$36="Yes",$D$38+1=AQ610,$C$17&gt;$D$38),AQ611-$B$38,AQ611)</f>
        <v>0</v>
      </c>
      <c r="AR615" s="1">
        <f>IF(AND($D$36="Yes",$D$38+1=AR610,$C$17&gt;$D$38),AR611-$B$38,AR611)</f>
        <v>0</v>
      </c>
      <c r="AS615" s="1">
        <f>IF(AND($D$36="Yes",$D$38+1=AS610,$C$17&gt;$D$38),AS611-$B$38,AS611)</f>
        <v>0</v>
      </c>
      <c r="AT615" s="1">
        <f>IF(AND($D$36="Yes",$D$38+1=AT610,$C$17&gt;$D$38),AT611-$B$38,AT611)</f>
        <v>0</v>
      </c>
      <c r="AU615" s="1">
        <f>IF(AND($D$36="Yes",$D$38+1=AU610,$C$17&gt;$D$38),AU611-$B$38,AU611)</f>
        <v>0</v>
      </c>
    </row>
    <row r="616" spans="15:48" x14ac:dyDescent="0.15">
      <c r="Q616" s="229" t="s">
        <v>87</v>
      </c>
      <c r="R616" s="267">
        <f>R611</f>
        <v>1821.2040000000004</v>
      </c>
      <c r="S616" s="150">
        <f>SUM($R$611:S611)</f>
        <v>3651.0126044266199</v>
      </c>
      <c r="T616" s="150">
        <f>SUM($R$611:T611)</f>
        <v>5502.5189724462452</v>
      </c>
      <c r="U616" s="150">
        <f>SUM($R$611:U611)</f>
        <v>7377.5359172279495</v>
      </c>
      <c r="V616" s="150">
        <f>SUM($R$611:V611)</f>
        <v>9278.000526529715</v>
      </c>
      <c r="W616" s="150">
        <f>SUM($R$611:W611)</f>
        <v>11205.982749569997</v>
      </c>
      <c r="X616" s="150">
        <f>SUM($R$611:X611)</f>
        <v>13163.69457701359</v>
      </c>
      <c r="Y616" s="150">
        <f>SUM($R$611:Y611)</f>
        <v>15153.499855040151</v>
      </c>
      <c r="Z616" s="150">
        <f>SUM($R$611:Z611)</f>
        <v>17177.924777293498</v>
      </c>
      <c r="AA616" s="150">
        <f>SUM($R$611:AA611)</f>
        <v>19239.66910153515</v>
      </c>
      <c r="AB616" s="150">
        <f>SUM($R$611:AB611)</f>
        <v>21341.618141059731</v>
      </c>
      <c r="AC616" s="150">
        <f>SUM($R$611:AC611)</f>
        <v>23486.855584387613</v>
      </c>
      <c r="AD616" s="150">
        <f>SUM($R$611:AD611)</f>
        <v>25678.677200446542</v>
      </c>
      <c r="AE616" s="150">
        <f>SUM($R$611:AE611)</f>
        <v>27920.605490405858</v>
      </c>
      <c r="AF616" s="150">
        <f>SUM($R$611:AF611)</f>
        <v>30216.405351551672</v>
      </c>
      <c r="AG616" s="150">
        <f>SUM($R$611:AG611)</f>
        <v>32570.10082310794</v>
      </c>
      <c r="AH616" s="150">
        <f>SUM($R$611:AH611)</f>
        <v>34985.992988736951</v>
      </c>
      <c r="AI616" s="150">
        <f>SUM($R$611:AI611)</f>
        <v>37468.679115614708</v>
      </c>
      <c r="AJ616" s="150">
        <f>SUM($R$611:AJ611)</f>
        <v>40023.073115495652</v>
      </c>
      <c r="AK616" s="150">
        <f>SUM($R$611:AK611)</f>
        <v>42654.427419080566</v>
      </c>
      <c r="AL616" s="150">
        <f>SUM($R$611:AL611)</f>
        <v>45368.356361309212</v>
      </c>
      <c r="AM616" s="150">
        <f>SUM($R$611:AM611)</f>
        <v>48170.861181942062</v>
      </c>
      <c r="AN616" s="150">
        <f>SUM($R$611:AN611)</f>
        <v>51068.356753004453</v>
      </c>
      <c r="AO616" s="150">
        <f>SUM($R$611:AO611)</f>
        <v>54067.700152373036</v>
      </c>
      <c r="AP616" s="150">
        <f>SUM($R$611:AP611)</f>
        <v>57176.221211023527</v>
      </c>
      <c r="AQ616" s="150">
        <f>SUM($R$611:AQ611)</f>
        <v>57176.221211023527</v>
      </c>
      <c r="AR616" s="150">
        <f>SUM($R$611:AR611)</f>
        <v>57176.221211023527</v>
      </c>
      <c r="AS616" s="150">
        <f>SUM($R$611:AS611)</f>
        <v>57176.221211023527</v>
      </c>
      <c r="AT616" s="150">
        <f>SUM($R$611:AT611)</f>
        <v>57176.221211023527</v>
      </c>
      <c r="AU616" s="150">
        <f>SUM($R$611:AU611)</f>
        <v>57176.221211023527</v>
      </c>
    </row>
    <row r="617" spans="15:48" x14ac:dyDescent="0.15">
      <c r="Q617" s="229" t="s">
        <v>86</v>
      </c>
      <c r="R617" s="266">
        <f>IRR(Q613:AU613)</f>
        <v>0.24649574999842616</v>
      </c>
    </row>
    <row r="619" spans="15:48" x14ac:dyDescent="0.15">
      <c r="R619" s="28"/>
      <c r="S619" s="28"/>
      <c r="T619" s="28"/>
      <c r="U619" s="28"/>
      <c r="V619" s="28"/>
      <c r="W619" s="225"/>
      <c r="X619" s="28"/>
    </row>
  </sheetData>
  <sheetProtection selectLockedCells="1"/>
  <mergeCells count="32">
    <mergeCell ref="O613:P613"/>
    <mergeCell ref="O612:Q612"/>
    <mergeCell ref="O614:Q614"/>
    <mergeCell ref="A1:G2"/>
    <mergeCell ref="A41:B41"/>
    <mergeCell ref="A24:B24"/>
    <mergeCell ref="A26:B26"/>
    <mergeCell ref="A29:B29"/>
    <mergeCell ref="A34:B34"/>
    <mergeCell ref="A3:G3"/>
    <mergeCell ref="A20:G20"/>
    <mergeCell ref="A14:B15"/>
    <mergeCell ref="D9:D10"/>
    <mergeCell ref="A12:C12"/>
    <mergeCell ref="A22:B22"/>
    <mergeCell ref="A17:B17"/>
    <mergeCell ref="V62:W62"/>
    <mergeCell ref="Q6:AF6"/>
    <mergeCell ref="N5:AI5"/>
    <mergeCell ref="AG6:AI6"/>
    <mergeCell ref="A55:E55"/>
    <mergeCell ref="A57:E57"/>
    <mergeCell ref="A51:E51"/>
    <mergeCell ref="A49:E49"/>
    <mergeCell ref="F41:G41"/>
    <mergeCell ref="A47:E47"/>
    <mergeCell ref="A9:C10"/>
    <mergeCell ref="C14:C15"/>
    <mergeCell ref="A36:C36"/>
    <mergeCell ref="E32:F32"/>
    <mergeCell ref="A53:E53"/>
    <mergeCell ref="A59:E59"/>
  </mergeCells>
  <phoneticPr fontId="3" type="noConversion"/>
  <dataValidations count="4">
    <dataValidation type="list" allowBlank="1" showInputMessage="1" showErrorMessage="1" sqref="B32" xr:uid="{00000000-0002-0000-0000-000000000000}">
      <formula1>$N$7:$N$9</formula1>
    </dataValidation>
    <dataValidation type="list" allowBlank="1" showInputMessage="1" showErrorMessage="1" sqref="B5" xr:uid="{00000000-0002-0000-0000-000001000000}">
      <formula1>$O$7:$O$15</formula1>
    </dataValidation>
    <dataValidation type="list" allowBlank="1" showInputMessage="1" showErrorMessage="1" sqref="D36 C41" xr:uid="{00000000-0002-0000-0000-000003000000}">
      <formula1>$N$8:$N$9</formula1>
    </dataValidation>
    <dataValidation type="list" allowBlank="1" showInputMessage="1" showErrorMessage="1" sqref="B7" xr:uid="{00000000-0002-0000-0000-000002000000}">
      <formula1>$P$7:$P$18</formula1>
    </dataValidation>
  </dataValidations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616"/>
  <sheetViews>
    <sheetView topLeftCell="A32" zoomScale="125" zoomScaleNormal="125" zoomScalePageLayoutView="125" workbookViewId="0">
      <selection activeCell="F54" sqref="F54"/>
    </sheetView>
  </sheetViews>
  <sheetFormatPr baseColWidth="10" defaultColWidth="8.83203125" defaultRowHeight="13" x14ac:dyDescent="0.15"/>
  <cols>
    <col min="1" max="1" width="12.83203125" customWidth="1"/>
    <col min="2" max="2" width="10.33203125" customWidth="1"/>
    <col min="3" max="3" width="15.33203125" bestFit="1" customWidth="1"/>
    <col min="4" max="4" width="11.5" bestFit="1" customWidth="1"/>
    <col min="6" max="6" width="12.5" bestFit="1" customWidth="1"/>
    <col min="10" max="10" width="15.33203125" bestFit="1" customWidth="1"/>
    <col min="11" max="13" width="11.5" bestFit="1" customWidth="1"/>
    <col min="14" max="14" width="11.1640625" customWidth="1"/>
    <col min="15" max="15" width="15.33203125" customWidth="1"/>
    <col min="16" max="16" width="15.5" customWidth="1"/>
    <col min="17" max="17" width="11.6640625" customWidth="1"/>
    <col min="18" max="18" width="19.6640625" bestFit="1" customWidth="1"/>
    <col min="19" max="19" width="14" bestFit="1" customWidth="1"/>
    <col min="20" max="20" width="13.83203125" customWidth="1"/>
    <col min="21" max="21" width="16.6640625" bestFit="1" customWidth="1"/>
    <col min="22" max="22" width="15.5" bestFit="1" customWidth="1"/>
    <col min="23" max="23" width="22.1640625" bestFit="1" customWidth="1"/>
    <col min="24" max="27" width="15.5" bestFit="1" customWidth="1"/>
    <col min="28" max="28" width="13.83203125" customWidth="1"/>
    <col min="29" max="29" width="12" customWidth="1"/>
    <col min="30" max="30" width="13.83203125" customWidth="1"/>
    <col min="31" max="31" width="12" customWidth="1"/>
    <col min="32" max="32" width="13.83203125" customWidth="1"/>
    <col min="33" max="34" width="12" customWidth="1"/>
    <col min="35" max="35" width="13.83203125" customWidth="1"/>
    <col min="36" max="40" width="12" customWidth="1"/>
    <col min="41" max="45" width="12.5" customWidth="1"/>
    <col min="46" max="46" width="12" customWidth="1"/>
    <col min="47" max="47" width="12.5" bestFit="1" customWidth="1"/>
    <col min="48" max="48" width="21.6640625" customWidth="1"/>
    <col min="49" max="49" width="11.5" bestFit="1" customWidth="1"/>
    <col min="51" max="51" width="10.5" bestFit="1" customWidth="1"/>
  </cols>
  <sheetData>
    <row r="1" spans="1:35" x14ac:dyDescent="0.15">
      <c r="A1" s="306" t="s">
        <v>40</v>
      </c>
      <c r="B1" s="307"/>
      <c r="C1" s="307"/>
      <c r="D1" s="307"/>
      <c r="E1" s="307"/>
      <c r="F1" s="307"/>
      <c r="G1" s="308"/>
    </row>
    <row r="2" spans="1:35" x14ac:dyDescent="0.15">
      <c r="A2" s="309"/>
      <c r="B2" s="310"/>
      <c r="C2" s="310"/>
      <c r="D2" s="310"/>
      <c r="E2" s="310"/>
      <c r="F2" s="310"/>
      <c r="G2" s="311"/>
    </row>
    <row r="3" spans="1:35" x14ac:dyDescent="0.15">
      <c r="A3" s="312" t="s">
        <v>62</v>
      </c>
      <c r="B3" s="313"/>
      <c r="C3" s="313"/>
      <c r="D3" s="313"/>
      <c r="E3" s="313"/>
      <c r="F3" s="313"/>
      <c r="G3" s="314"/>
    </row>
    <row r="4" spans="1:35" ht="14" thickBot="1" x14ac:dyDescent="0.2">
      <c r="A4" s="7"/>
      <c r="B4" s="5"/>
      <c r="C4" s="5"/>
      <c r="D4" s="5"/>
      <c r="E4" s="5"/>
      <c r="F4" s="5"/>
      <c r="G4" s="6"/>
    </row>
    <row r="5" spans="1:35" ht="14" thickBot="1" x14ac:dyDescent="0.2">
      <c r="A5" s="14" t="s">
        <v>0</v>
      </c>
      <c r="B5" s="68" t="s">
        <v>18</v>
      </c>
      <c r="C5" s="5"/>
      <c r="D5" s="5"/>
      <c r="E5" s="5"/>
      <c r="F5" s="5"/>
      <c r="G5" s="6"/>
      <c r="N5" s="272" t="s">
        <v>27</v>
      </c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4"/>
    </row>
    <row r="6" spans="1:35" x14ac:dyDescent="0.15">
      <c r="A6" s="57"/>
      <c r="B6" s="5"/>
      <c r="C6" s="5"/>
      <c r="D6" s="5"/>
      <c r="E6" s="5"/>
      <c r="F6" s="5"/>
      <c r="G6" s="6"/>
      <c r="N6" s="36" t="s">
        <v>37</v>
      </c>
      <c r="O6" s="36" t="s">
        <v>0</v>
      </c>
      <c r="P6" s="37" t="s">
        <v>1</v>
      </c>
      <c r="Q6" s="269" t="s">
        <v>26</v>
      </c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1"/>
      <c r="AG6" s="275" t="s">
        <v>41</v>
      </c>
      <c r="AH6" s="276"/>
      <c r="AI6" s="277"/>
    </row>
    <row r="7" spans="1:35" x14ac:dyDescent="0.15">
      <c r="A7" s="14" t="s">
        <v>1</v>
      </c>
      <c r="B7" s="68">
        <v>3</v>
      </c>
      <c r="C7" s="8" t="s">
        <v>25</v>
      </c>
      <c r="D7" s="5"/>
      <c r="E7" s="5"/>
      <c r="F7" s="2"/>
      <c r="G7" s="6"/>
      <c r="I7" s="28"/>
      <c r="J7" s="28"/>
      <c r="N7" s="38"/>
      <c r="O7" s="38"/>
      <c r="P7" s="39"/>
      <c r="Q7" s="20" t="s">
        <v>18</v>
      </c>
      <c r="R7" s="18" t="s">
        <v>49</v>
      </c>
      <c r="S7" s="18" t="s">
        <v>19</v>
      </c>
      <c r="T7" s="18" t="s">
        <v>49</v>
      </c>
      <c r="U7" s="18" t="s">
        <v>20</v>
      </c>
      <c r="V7" s="18" t="s">
        <v>49</v>
      </c>
      <c r="W7" s="18" t="s">
        <v>21</v>
      </c>
      <c r="X7" s="18" t="s">
        <v>49</v>
      </c>
      <c r="Y7" s="18" t="s">
        <v>22</v>
      </c>
      <c r="Z7" s="18" t="s">
        <v>49</v>
      </c>
      <c r="AA7" s="18" t="s">
        <v>23</v>
      </c>
      <c r="AB7" s="18" t="s">
        <v>49</v>
      </c>
      <c r="AC7" s="18" t="s">
        <v>24</v>
      </c>
      <c r="AD7" s="18" t="s">
        <v>49</v>
      </c>
      <c r="AE7" s="18" t="s">
        <v>28</v>
      </c>
      <c r="AF7" s="18" t="s">
        <v>49</v>
      </c>
      <c r="AG7" s="27" t="s">
        <v>42</v>
      </c>
      <c r="AH7" s="1"/>
      <c r="AI7" s="18" t="s">
        <v>49</v>
      </c>
    </row>
    <row r="8" spans="1:35" x14ac:dyDescent="0.15">
      <c r="A8" s="7"/>
      <c r="B8" s="5"/>
      <c r="C8" s="5"/>
      <c r="D8" s="5"/>
      <c r="E8" s="5"/>
      <c r="F8" s="8"/>
      <c r="G8" s="6"/>
      <c r="J8" s="63"/>
      <c r="N8" s="38" t="s">
        <v>38</v>
      </c>
      <c r="O8" s="38" t="s">
        <v>18</v>
      </c>
      <c r="P8" s="39">
        <v>1.5</v>
      </c>
      <c r="Q8" s="21">
        <v>2135</v>
      </c>
      <c r="R8" s="17">
        <f>IF(AND($B$5=$Q$7,$B$7=$P8),Q8,0)</f>
        <v>0</v>
      </c>
      <c r="S8" s="19">
        <v>2354</v>
      </c>
      <c r="T8" s="17">
        <f>IF(AND($B$5=$S$7,$B$7=$P8),S8,0)</f>
        <v>0</v>
      </c>
      <c r="U8" s="19">
        <v>2409</v>
      </c>
      <c r="V8" s="17">
        <f>IF(AND($B$5=$U$7,$B$7=$P8),U8,0)</f>
        <v>0</v>
      </c>
      <c r="W8" s="19">
        <v>2299</v>
      </c>
      <c r="X8" s="17">
        <f t="shared" ref="X8:X17" si="0">IF(AND($B$5=$W$7,$B$7=$P8),W8,0)</f>
        <v>0</v>
      </c>
      <c r="Y8" s="19">
        <v>2299</v>
      </c>
      <c r="Z8" s="17">
        <f>IF(AND($B$5=$Y$7,$B$7=$P8),Y8,0)</f>
        <v>0</v>
      </c>
      <c r="AA8" s="19">
        <v>1916</v>
      </c>
      <c r="AB8" s="17">
        <f>IF(AND($B$5=$AA$7,$B$7=$P8),AA8,0)</f>
        <v>0</v>
      </c>
      <c r="AC8" s="19">
        <v>1971</v>
      </c>
      <c r="AD8" s="17">
        <f>IF(AND($B$5=$AC$7,$B$7=$P8),AC8,0)</f>
        <v>0</v>
      </c>
      <c r="AE8" s="19">
        <v>2409</v>
      </c>
      <c r="AF8" s="42">
        <f>IF(AND($B$5=$AE$7,$B$7=$P8),AE8,0)</f>
        <v>0</v>
      </c>
      <c r="AG8" s="3" t="s">
        <v>18</v>
      </c>
      <c r="AH8" s="25">
        <v>0.08</v>
      </c>
      <c r="AI8" s="44">
        <f>IF($B$5=AG8,AH8,0)</f>
        <v>0.08</v>
      </c>
    </row>
    <row r="9" spans="1:35" ht="14" thickBot="1" x14ac:dyDescent="0.2">
      <c r="A9" s="282" t="s">
        <v>2</v>
      </c>
      <c r="B9" s="283"/>
      <c r="C9" s="284"/>
      <c r="D9" s="304">
        <v>6685</v>
      </c>
      <c r="E9" s="5"/>
      <c r="F9" s="77"/>
      <c r="G9" s="6"/>
      <c r="J9" s="28"/>
      <c r="K9" s="28"/>
      <c r="N9" s="40" t="s">
        <v>39</v>
      </c>
      <c r="O9" s="38" t="s">
        <v>19</v>
      </c>
      <c r="P9" s="39">
        <v>2</v>
      </c>
      <c r="Q9" s="21">
        <v>2847</v>
      </c>
      <c r="R9" s="17">
        <f t="shared" ref="R9:R17" si="1">IF(AND($B$5=$Q$7,$B$7=P9),Q9,0)</f>
        <v>0</v>
      </c>
      <c r="S9" s="19">
        <v>3139</v>
      </c>
      <c r="T9" s="17">
        <f t="shared" ref="T9:T17" si="2">IF(AND($B$5=$S$7,$B$7=$P9),S9,0)</f>
        <v>0</v>
      </c>
      <c r="U9" s="19">
        <v>3212</v>
      </c>
      <c r="V9" s="17">
        <f t="shared" ref="V9:V17" si="3">IF(AND($B$5=$U$7,$B$7=$P9),U9,0)</f>
        <v>0</v>
      </c>
      <c r="W9" s="19">
        <v>3066</v>
      </c>
      <c r="X9" s="17">
        <f t="shared" si="0"/>
        <v>0</v>
      </c>
      <c r="Y9" s="19">
        <v>3066</v>
      </c>
      <c r="Z9" s="17">
        <f t="shared" ref="Z9:Z17" si="4">IF(AND($B$5=$Y$7,$B$7=$P9),Y9,0)</f>
        <v>0</v>
      </c>
      <c r="AA9" s="19">
        <v>2555</v>
      </c>
      <c r="AB9" s="17">
        <f t="shared" ref="AB9:AB17" si="5">IF(AND($B$5=$AA$7,$B$7=$P9),AA9,0)</f>
        <v>0</v>
      </c>
      <c r="AC9" s="19">
        <v>2628</v>
      </c>
      <c r="AD9" s="17">
        <f t="shared" ref="AD9:AD17" si="6">IF(AND($B$5=$AC$7,$B$7=$P9),AC9,0)</f>
        <v>0</v>
      </c>
      <c r="AE9" s="19">
        <v>3212</v>
      </c>
      <c r="AF9" s="42">
        <f t="shared" ref="AF9:AF17" si="7">IF(AND($B$5=$AE$7,$B$7=$P9),AE9,0)</f>
        <v>0</v>
      </c>
      <c r="AG9" s="3" t="s">
        <v>19</v>
      </c>
      <c r="AH9" s="25">
        <v>0.08</v>
      </c>
      <c r="AI9" s="44">
        <f t="shared" ref="AI9:AI15" si="8">IF($B$5=AG9,AH9,0)</f>
        <v>0</v>
      </c>
    </row>
    <row r="10" spans="1:35" x14ac:dyDescent="0.15">
      <c r="A10" s="282"/>
      <c r="B10" s="283"/>
      <c r="C10" s="284"/>
      <c r="D10" s="305"/>
      <c r="E10" s="5"/>
      <c r="F10" s="5"/>
      <c r="G10" s="6"/>
      <c r="I10" s="28"/>
      <c r="J10" s="47"/>
      <c r="N10" s="34"/>
      <c r="O10" s="38" t="s">
        <v>20</v>
      </c>
      <c r="P10" s="39">
        <v>3</v>
      </c>
      <c r="Q10" s="21">
        <v>4270</v>
      </c>
      <c r="R10" s="17">
        <f t="shared" si="1"/>
        <v>4270</v>
      </c>
      <c r="S10" s="19">
        <v>4708</v>
      </c>
      <c r="T10" s="17">
        <f t="shared" si="2"/>
        <v>0</v>
      </c>
      <c r="U10" s="19">
        <v>4818</v>
      </c>
      <c r="V10" s="17">
        <f t="shared" si="3"/>
        <v>0</v>
      </c>
      <c r="W10" s="19">
        <v>4599</v>
      </c>
      <c r="X10" s="17">
        <f t="shared" si="0"/>
        <v>0</v>
      </c>
      <c r="Y10" s="19">
        <v>4599</v>
      </c>
      <c r="Z10" s="17">
        <f t="shared" si="4"/>
        <v>0</v>
      </c>
      <c r="AA10" s="19">
        <v>3832</v>
      </c>
      <c r="AB10" s="17">
        <f t="shared" si="5"/>
        <v>0</v>
      </c>
      <c r="AC10" s="19">
        <v>3942</v>
      </c>
      <c r="AD10" s="17">
        <f t="shared" si="6"/>
        <v>0</v>
      </c>
      <c r="AE10" s="19">
        <v>4818</v>
      </c>
      <c r="AF10" s="42">
        <f t="shared" si="7"/>
        <v>0</v>
      </c>
      <c r="AG10" s="3" t="s">
        <v>20</v>
      </c>
      <c r="AH10" s="25">
        <v>0.2</v>
      </c>
      <c r="AI10" s="44">
        <f t="shared" si="8"/>
        <v>0</v>
      </c>
    </row>
    <row r="11" spans="1:35" x14ac:dyDescent="0.15">
      <c r="A11" s="9"/>
      <c r="B11" s="10"/>
      <c r="C11" s="10"/>
      <c r="D11" s="5"/>
      <c r="E11" s="5"/>
      <c r="F11" s="5"/>
      <c r="G11" s="6"/>
      <c r="I11" s="28"/>
      <c r="J11" s="47"/>
      <c r="N11" s="34"/>
      <c r="O11" s="38" t="s">
        <v>21</v>
      </c>
      <c r="P11" s="39">
        <v>4</v>
      </c>
      <c r="Q11" s="21">
        <v>5694</v>
      </c>
      <c r="R11" s="17">
        <f t="shared" si="1"/>
        <v>0</v>
      </c>
      <c r="S11" s="19">
        <v>6278</v>
      </c>
      <c r="T11" s="17">
        <f t="shared" si="2"/>
        <v>0</v>
      </c>
      <c r="U11" s="19">
        <v>6424</v>
      </c>
      <c r="V11" s="17">
        <f t="shared" si="3"/>
        <v>0</v>
      </c>
      <c r="W11" s="19">
        <v>6132</v>
      </c>
      <c r="X11" s="17">
        <f t="shared" si="0"/>
        <v>0</v>
      </c>
      <c r="Y11" s="19">
        <v>6132</v>
      </c>
      <c r="Z11" s="17">
        <f t="shared" si="4"/>
        <v>0</v>
      </c>
      <c r="AA11" s="19">
        <v>5110</v>
      </c>
      <c r="AB11" s="17">
        <f t="shared" si="5"/>
        <v>0</v>
      </c>
      <c r="AC11" s="19">
        <v>5256</v>
      </c>
      <c r="AD11" s="17">
        <f t="shared" si="6"/>
        <v>0</v>
      </c>
      <c r="AE11" s="19">
        <v>6424</v>
      </c>
      <c r="AF11" s="42">
        <f t="shared" si="7"/>
        <v>0</v>
      </c>
      <c r="AG11" s="3" t="s">
        <v>21</v>
      </c>
      <c r="AH11" s="25">
        <v>0.08</v>
      </c>
      <c r="AI11" s="44">
        <f t="shared" si="8"/>
        <v>0</v>
      </c>
    </row>
    <row r="12" spans="1:35" x14ac:dyDescent="0.15">
      <c r="A12" s="278" t="s">
        <v>3</v>
      </c>
      <c r="B12" s="279"/>
      <c r="C12" s="297"/>
      <c r="D12" s="52">
        <f>IF(B7&gt;0,SUM(R18,T18,V18,X18,Z18,AB18,AD18,AF18),"")</f>
        <v>4270</v>
      </c>
      <c r="E12" s="8" t="s">
        <v>7</v>
      </c>
      <c r="F12" s="5"/>
      <c r="G12" s="6"/>
      <c r="J12" s="47"/>
      <c r="N12" s="34"/>
      <c r="O12" s="38" t="s">
        <v>22</v>
      </c>
      <c r="P12" s="39">
        <v>5</v>
      </c>
      <c r="Q12" s="21">
        <v>7117</v>
      </c>
      <c r="R12" s="17">
        <f t="shared" si="1"/>
        <v>0</v>
      </c>
      <c r="S12" s="19">
        <v>7847</v>
      </c>
      <c r="T12" s="17">
        <f t="shared" si="2"/>
        <v>0</v>
      </c>
      <c r="U12" s="19">
        <v>8030</v>
      </c>
      <c r="V12" s="17">
        <f t="shared" si="3"/>
        <v>0</v>
      </c>
      <c r="W12" s="19">
        <v>7665</v>
      </c>
      <c r="X12" s="17">
        <f t="shared" si="0"/>
        <v>0</v>
      </c>
      <c r="Y12" s="19">
        <v>7665</v>
      </c>
      <c r="Z12" s="17">
        <f t="shared" si="4"/>
        <v>0</v>
      </c>
      <c r="AA12" s="19">
        <v>6387</v>
      </c>
      <c r="AB12" s="17">
        <f t="shared" si="5"/>
        <v>0</v>
      </c>
      <c r="AC12" s="19">
        <v>6570</v>
      </c>
      <c r="AD12" s="17">
        <f t="shared" si="6"/>
        <v>0</v>
      </c>
      <c r="AE12" s="19">
        <v>8030</v>
      </c>
      <c r="AF12" s="42">
        <f t="shared" si="7"/>
        <v>0</v>
      </c>
      <c r="AG12" s="3" t="s">
        <v>22</v>
      </c>
      <c r="AH12" s="25">
        <v>0.1</v>
      </c>
      <c r="AI12" s="44">
        <f t="shared" si="8"/>
        <v>0</v>
      </c>
    </row>
    <row r="13" spans="1:35" x14ac:dyDescent="0.15">
      <c r="A13" s="7"/>
      <c r="B13" s="5"/>
      <c r="C13" s="5"/>
      <c r="D13" s="5"/>
      <c r="E13" s="5"/>
      <c r="F13" s="5"/>
      <c r="G13" s="6"/>
      <c r="J13" s="47"/>
      <c r="N13" s="34"/>
      <c r="O13" s="38" t="s">
        <v>23</v>
      </c>
      <c r="P13" s="39">
        <v>6</v>
      </c>
      <c r="Q13" s="21">
        <v>8541</v>
      </c>
      <c r="R13" s="17">
        <f t="shared" si="1"/>
        <v>0</v>
      </c>
      <c r="S13" s="19">
        <v>9417</v>
      </c>
      <c r="T13" s="17">
        <f t="shared" si="2"/>
        <v>0</v>
      </c>
      <c r="U13" s="19">
        <v>9636</v>
      </c>
      <c r="V13" s="17">
        <f t="shared" si="3"/>
        <v>0</v>
      </c>
      <c r="W13" s="19">
        <v>9198</v>
      </c>
      <c r="X13" s="17">
        <f t="shared" si="0"/>
        <v>0</v>
      </c>
      <c r="Y13" s="19">
        <v>9198</v>
      </c>
      <c r="Z13" s="17">
        <f t="shared" si="4"/>
        <v>0</v>
      </c>
      <c r="AA13" s="19">
        <v>7665</v>
      </c>
      <c r="AB13" s="17">
        <f t="shared" si="5"/>
        <v>0</v>
      </c>
      <c r="AC13" s="19">
        <v>7884</v>
      </c>
      <c r="AD13" s="17">
        <f t="shared" si="6"/>
        <v>0</v>
      </c>
      <c r="AE13" s="19">
        <v>9636</v>
      </c>
      <c r="AF13" s="42">
        <f t="shared" si="7"/>
        <v>0</v>
      </c>
      <c r="AG13" s="3" t="s">
        <v>23</v>
      </c>
      <c r="AH13" s="25">
        <v>0.08</v>
      </c>
      <c r="AI13" s="44">
        <f t="shared" si="8"/>
        <v>0</v>
      </c>
    </row>
    <row r="14" spans="1:35" x14ac:dyDescent="0.15">
      <c r="A14" s="282" t="s">
        <v>4</v>
      </c>
      <c r="B14" s="284"/>
      <c r="C14" s="285">
        <v>0.3</v>
      </c>
      <c r="D14" s="5"/>
      <c r="E14" s="5"/>
      <c r="F14" s="5"/>
      <c r="G14" s="6"/>
      <c r="J14" s="28"/>
      <c r="N14" s="34"/>
      <c r="O14" s="38" t="s">
        <v>24</v>
      </c>
      <c r="P14" s="39">
        <v>7</v>
      </c>
      <c r="Q14" s="21">
        <v>9964</v>
      </c>
      <c r="R14" s="17">
        <f t="shared" si="1"/>
        <v>0</v>
      </c>
      <c r="S14" s="19">
        <v>10986</v>
      </c>
      <c r="T14" s="17">
        <f t="shared" si="2"/>
        <v>0</v>
      </c>
      <c r="U14" s="19">
        <v>11242</v>
      </c>
      <c r="V14" s="17">
        <f t="shared" si="3"/>
        <v>0</v>
      </c>
      <c r="W14" s="19">
        <v>10731</v>
      </c>
      <c r="X14" s="17">
        <f t="shared" si="0"/>
        <v>0</v>
      </c>
      <c r="Y14" s="19">
        <v>10731</v>
      </c>
      <c r="Z14" s="17">
        <f t="shared" si="4"/>
        <v>0</v>
      </c>
      <c r="AA14" s="19">
        <v>8942</v>
      </c>
      <c r="AB14" s="17">
        <f t="shared" si="5"/>
        <v>0</v>
      </c>
      <c r="AC14" s="19">
        <v>9198</v>
      </c>
      <c r="AD14" s="17">
        <f t="shared" si="6"/>
        <v>0</v>
      </c>
      <c r="AE14" s="19">
        <v>11242</v>
      </c>
      <c r="AF14" s="42">
        <f t="shared" si="7"/>
        <v>0</v>
      </c>
      <c r="AG14" s="3" t="s">
        <v>24</v>
      </c>
      <c r="AH14" s="25">
        <v>0.08</v>
      </c>
      <c r="AI14" s="44">
        <f t="shared" si="8"/>
        <v>0</v>
      </c>
    </row>
    <row r="15" spans="1:35" ht="14" thickBot="1" x14ac:dyDescent="0.2">
      <c r="A15" s="282"/>
      <c r="B15" s="284"/>
      <c r="C15" s="286"/>
      <c r="D15" s="8" t="s">
        <v>29</v>
      </c>
      <c r="E15" s="5"/>
      <c r="F15" s="5"/>
      <c r="G15" s="6"/>
      <c r="N15" s="34"/>
      <c r="O15" s="40" t="s">
        <v>28</v>
      </c>
      <c r="P15" s="39">
        <v>8</v>
      </c>
      <c r="Q15" s="21">
        <v>11388</v>
      </c>
      <c r="R15" s="17">
        <f t="shared" si="1"/>
        <v>0</v>
      </c>
      <c r="S15" s="19">
        <v>12556</v>
      </c>
      <c r="T15" s="17">
        <f t="shared" si="2"/>
        <v>0</v>
      </c>
      <c r="U15" s="19">
        <v>12848</v>
      </c>
      <c r="V15" s="17">
        <f t="shared" si="3"/>
        <v>0</v>
      </c>
      <c r="W15" s="19">
        <v>12264</v>
      </c>
      <c r="X15" s="17">
        <f t="shared" si="0"/>
        <v>0</v>
      </c>
      <c r="Y15" s="19">
        <v>12264</v>
      </c>
      <c r="Z15" s="17">
        <f t="shared" si="4"/>
        <v>0</v>
      </c>
      <c r="AA15" s="19">
        <v>10220</v>
      </c>
      <c r="AB15" s="17">
        <f t="shared" si="5"/>
        <v>0</v>
      </c>
      <c r="AC15" s="19">
        <v>10512</v>
      </c>
      <c r="AD15" s="17">
        <f t="shared" si="6"/>
        <v>0</v>
      </c>
      <c r="AE15" s="19">
        <v>12848</v>
      </c>
      <c r="AF15" s="42">
        <f t="shared" si="7"/>
        <v>0</v>
      </c>
      <c r="AG15" s="4" t="s">
        <v>28</v>
      </c>
      <c r="AH15" s="26">
        <v>0.08</v>
      </c>
      <c r="AI15" s="45">
        <f t="shared" si="8"/>
        <v>0</v>
      </c>
    </row>
    <row r="16" spans="1:35" x14ac:dyDescent="0.15">
      <c r="A16" s="7"/>
      <c r="B16" s="5"/>
      <c r="C16" s="5"/>
      <c r="D16" s="5"/>
      <c r="E16" s="5"/>
      <c r="F16" s="5"/>
      <c r="G16" s="6"/>
      <c r="N16" s="34"/>
      <c r="O16" s="34"/>
      <c r="P16" s="39">
        <v>9</v>
      </c>
      <c r="Q16" s="21">
        <v>12811</v>
      </c>
      <c r="R16" s="17">
        <f t="shared" si="1"/>
        <v>0</v>
      </c>
      <c r="S16" s="19">
        <v>14125</v>
      </c>
      <c r="T16" s="17">
        <f t="shared" si="2"/>
        <v>0</v>
      </c>
      <c r="U16" s="19">
        <v>14454</v>
      </c>
      <c r="V16" s="17">
        <f t="shared" si="3"/>
        <v>0</v>
      </c>
      <c r="W16" s="19">
        <v>13797</v>
      </c>
      <c r="X16" s="17">
        <f t="shared" si="0"/>
        <v>0</v>
      </c>
      <c r="Y16" s="19">
        <v>13797</v>
      </c>
      <c r="Z16" s="17">
        <f t="shared" si="4"/>
        <v>0</v>
      </c>
      <c r="AA16" s="19">
        <v>11497</v>
      </c>
      <c r="AB16" s="17">
        <f t="shared" si="5"/>
        <v>0</v>
      </c>
      <c r="AC16" s="19">
        <v>11826</v>
      </c>
      <c r="AD16" s="17">
        <f t="shared" si="6"/>
        <v>0</v>
      </c>
      <c r="AE16" s="19">
        <v>14454</v>
      </c>
      <c r="AF16" s="42">
        <f t="shared" si="7"/>
        <v>0</v>
      </c>
    </row>
    <row r="17" spans="1:32" ht="14" thickBot="1" x14ac:dyDescent="0.2">
      <c r="A17" s="278" t="s">
        <v>5</v>
      </c>
      <c r="B17" s="297"/>
      <c r="C17" s="68">
        <v>30</v>
      </c>
      <c r="D17" s="8" t="s">
        <v>6</v>
      </c>
      <c r="E17" s="5"/>
      <c r="F17" s="5"/>
      <c r="G17" s="6"/>
      <c r="N17" s="34"/>
      <c r="O17" s="34"/>
      <c r="P17" s="41">
        <v>10</v>
      </c>
      <c r="Q17" s="22">
        <v>14235</v>
      </c>
      <c r="R17" s="35">
        <f t="shared" si="1"/>
        <v>0</v>
      </c>
      <c r="S17" s="23">
        <v>15695</v>
      </c>
      <c r="T17" s="35">
        <f t="shared" si="2"/>
        <v>0</v>
      </c>
      <c r="U17" s="23">
        <v>16060</v>
      </c>
      <c r="V17" s="35">
        <f t="shared" si="3"/>
        <v>0</v>
      </c>
      <c r="W17" s="23">
        <v>15330</v>
      </c>
      <c r="X17" s="35">
        <f t="shared" si="0"/>
        <v>0</v>
      </c>
      <c r="Y17" s="23">
        <v>15330</v>
      </c>
      <c r="Z17" s="35">
        <f t="shared" si="4"/>
        <v>0</v>
      </c>
      <c r="AA17" s="23">
        <v>12775</v>
      </c>
      <c r="AB17" s="35">
        <f t="shared" si="5"/>
        <v>0</v>
      </c>
      <c r="AC17" s="23">
        <v>13140</v>
      </c>
      <c r="AD17" s="35">
        <f t="shared" si="6"/>
        <v>0</v>
      </c>
      <c r="AE17" s="23">
        <v>16060</v>
      </c>
      <c r="AF17" s="43">
        <f t="shared" si="7"/>
        <v>0</v>
      </c>
    </row>
    <row r="18" spans="1:32" x14ac:dyDescent="0.15">
      <c r="A18" s="7"/>
      <c r="B18" s="5"/>
      <c r="C18" s="5"/>
      <c r="D18" s="5"/>
      <c r="E18" s="5"/>
      <c r="F18" s="5"/>
      <c r="G18" s="6"/>
      <c r="P18" s="2"/>
      <c r="R18" s="46">
        <f>SUM(R8:R17)</f>
        <v>4270</v>
      </c>
      <c r="T18" s="46">
        <f>SUM(T8:T17)</f>
        <v>0</v>
      </c>
      <c r="V18" s="46">
        <f>SUM(V8:V17)</f>
        <v>0</v>
      </c>
      <c r="X18" s="46">
        <f>SUM(X8:X17)</f>
        <v>0</v>
      </c>
      <c r="Z18" s="46">
        <f>SUM(Z8:Z17)</f>
        <v>0</v>
      </c>
      <c r="AB18" s="46">
        <f>SUM(AB8:AB17)</f>
        <v>0</v>
      </c>
      <c r="AD18" s="46">
        <f>SUM(AD8:AD17)</f>
        <v>0</v>
      </c>
      <c r="AF18" s="46">
        <f>SUM(AF8:AF17)</f>
        <v>0</v>
      </c>
    </row>
    <row r="19" spans="1:32" x14ac:dyDescent="0.15">
      <c r="A19" s="278" t="s">
        <v>56</v>
      </c>
      <c r="B19" s="279"/>
      <c r="C19" s="76">
        <v>0</v>
      </c>
      <c r="D19" s="8" t="s">
        <v>57</v>
      </c>
      <c r="E19" s="5"/>
      <c r="F19" s="5"/>
      <c r="G19" s="6"/>
    </row>
    <row r="20" spans="1:32" x14ac:dyDescent="0.15">
      <c r="A20" s="7"/>
      <c r="B20" s="5"/>
      <c r="C20" s="5"/>
      <c r="D20" s="5"/>
      <c r="E20" s="5"/>
      <c r="F20" s="5"/>
      <c r="G20" s="6"/>
    </row>
    <row r="21" spans="1:32" x14ac:dyDescent="0.15">
      <c r="A21" s="278" t="s">
        <v>58</v>
      </c>
      <c r="B21" s="279"/>
      <c r="C21" s="80">
        <v>0.05</v>
      </c>
      <c r="D21" s="5"/>
      <c r="E21" s="75" t="s">
        <v>59</v>
      </c>
      <c r="F21" s="53">
        <v>20</v>
      </c>
      <c r="G21" s="78" t="s">
        <v>6</v>
      </c>
      <c r="J21" s="32"/>
    </row>
    <row r="22" spans="1:32" ht="14" thickBot="1" x14ac:dyDescent="0.2">
      <c r="A22" s="7"/>
      <c r="B22" s="5"/>
      <c r="C22" s="5"/>
      <c r="D22" s="5"/>
      <c r="E22" s="5"/>
      <c r="F22" s="5"/>
      <c r="G22" s="6"/>
      <c r="J22" s="33"/>
    </row>
    <row r="23" spans="1:32" ht="17" thickBot="1" x14ac:dyDescent="0.25">
      <c r="A23" s="301" t="s">
        <v>8</v>
      </c>
      <c r="B23" s="302"/>
      <c r="C23" s="302"/>
      <c r="D23" s="302"/>
      <c r="E23" s="302"/>
      <c r="F23" s="302"/>
      <c r="G23" s="303"/>
      <c r="J23" s="34"/>
      <c r="N23" s="34"/>
      <c r="O23" s="34"/>
      <c r="P23" s="34"/>
    </row>
    <row r="24" spans="1:32" ht="13" customHeight="1" x14ac:dyDescent="0.15">
      <c r="A24" s="7"/>
      <c r="B24" s="5"/>
      <c r="C24" s="5"/>
      <c r="D24" s="5"/>
      <c r="E24" s="5"/>
      <c r="F24" s="5"/>
      <c r="G24" s="6"/>
      <c r="J24" s="34"/>
    </row>
    <row r="25" spans="1:32" x14ac:dyDescent="0.15">
      <c r="A25" s="278" t="s">
        <v>9</v>
      </c>
      <c r="B25" s="297"/>
      <c r="C25" s="69">
        <v>7.0000000000000007E-2</v>
      </c>
      <c r="D25" s="8" t="s">
        <v>30</v>
      </c>
      <c r="E25" s="5"/>
      <c r="F25" s="5"/>
      <c r="G25" s="6"/>
      <c r="J25" s="33"/>
      <c r="L25" s="28"/>
    </row>
    <row r="26" spans="1:32" x14ac:dyDescent="0.15">
      <c r="A26" s="7"/>
      <c r="B26" s="5"/>
      <c r="C26" s="54"/>
      <c r="D26" s="5"/>
      <c r="E26" s="5"/>
      <c r="F26" s="5"/>
      <c r="G26" s="6"/>
      <c r="L26" s="28"/>
    </row>
    <row r="27" spans="1:32" x14ac:dyDescent="0.15">
      <c r="A27" s="278" t="s">
        <v>10</v>
      </c>
      <c r="B27" s="297"/>
      <c r="C27" s="70">
        <v>0.4</v>
      </c>
      <c r="D27" s="8" t="s">
        <v>31</v>
      </c>
      <c r="E27" s="5"/>
      <c r="F27" s="5"/>
      <c r="G27" s="6"/>
    </row>
    <row r="28" spans="1:32" x14ac:dyDescent="0.15">
      <c r="A28" s="7"/>
      <c r="B28" s="5"/>
      <c r="C28" s="54"/>
      <c r="D28" s="5"/>
      <c r="E28" s="5"/>
      <c r="F28" s="5"/>
      <c r="G28" s="6"/>
      <c r="J28" s="56"/>
    </row>
    <row r="29" spans="1:32" x14ac:dyDescent="0.15">
      <c r="A29" s="278" t="s">
        <v>11</v>
      </c>
      <c r="B29" s="297"/>
      <c r="C29" s="55">
        <f>IF(B7&gt;0,SUM(AI8:AI15),"")</f>
        <v>0.08</v>
      </c>
      <c r="D29" s="8" t="s">
        <v>34</v>
      </c>
      <c r="E29" s="5"/>
      <c r="F29" s="5"/>
      <c r="G29" s="6"/>
      <c r="J29" s="56"/>
    </row>
    <row r="30" spans="1:32" x14ac:dyDescent="0.15">
      <c r="A30" s="7"/>
      <c r="B30" s="5"/>
      <c r="C30" s="54"/>
      <c r="D30" s="5"/>
      <c r="E30" s="5"/>
      <c r="F30" s="5"/>
      <c r="G30" s="6"/>
    </row>
    <row r="31" spans="1:32" x14ac:dyDescent="0.15">
      <c r="A31" s="278" t="s">
        <v>12</v>
      </c>
      <c r="B31" s="297"/>
      <c r="C31" s="53">
        <v>30</v>
      </c>
      <c r="D31" s="8" t="s">
        <v>6</v>
      </c>
      <c r="E31" s="5"/>
      <c r="F31" s="5"/>
      <c r="G31" s="6"/>
    </row>
    <row r="32" spans="1:32" x14ac:dyDescent="0.15">
      <c r="A32" s="7"/>
      <c r="B32" s="5"/>
      <c r="C32" s="5"/>
      <c r="D32" s="5"/>
      <c r="E32" s="5"/>
      <c r="F32" s="5"/>
      <c r="G32" s="6"/>
    </row>
    <row r="33" spans="1:20" x14ac:dyDescent="0.15">
      <c r="A33" s="7"/>
      <c r="B33" s="15" t="s">
        <v>36</v>
      </c>
      <c r="C33" s="5"/>
      <c r="D33" s="5"/>
      <c r="E33" s="5"/>
      <c r="F33" s="5"/>
      <c r="G33" s="6"/>
    </row>
    <row r="34" spans="1:20" x14ac:dyDescent="0.15">
      <c r="A34" s="14" t="s">
        <v>32</v>
      </c>
      <c r="B34" s="72" t="s">
        <v>39</v>
      </c>
      <c r="C34" s="16" t="s">
        <v>35</v>
      </c>
      <c r="D34" s="71">
        <v>0.1</v>
      </c>
      <c r="E34" s="280" t="s">
        <v>34</v>
      </c>
      <c r="F34" s="287"/>
      <c r="G34" s="6"/>
      <c r="N34" s="28"/>
    </row>
    <row r="35" spans="1:20" ht="13" customHeight="1" x14ac:dyDescent="0.15">
      <c r="A35" s="7"/>
      <c r="B35" s="5"/>
      <c r="C35" s="5"/>
      <c r="D35" s="5"/>
      <c r="E35" s="5"/>
      <c r="F35" s="5"/>
      <c r="G35" s="6"/>
      <c r="N35" s="28"/>
    </row>
    <row r="36" spans="1:20" x14ac:dyDescent="0.15">
      <c r="A36" s="278" t="s">
        <v>13</v>
      </c>
      <c r="B36" s="297"/>
      <c r="C36" s="73">
        <v>3.0000000000000001E-3</v>
      </c>
      <c r="D36" s="5"/>
      <c r="E36" s="5"/>
      <c r="F36" s="5"/>
      <c r="G36" s="6"/>
    </row>
    <row r="37" spans="1:20" x14ac:dyDescent="0.15">
      <c r="A37" s="7"/>
      <c r="B37" s="5"/>
      <c r="C37" s="5"/>
      <c r="D37" s="5"/>
      <c r="E37" s="5"/>
      <c r="F37" s="5"/>
      <c r="G37" s="6"/>
      <c r="N37" s="83"/>
    </row>
    <row r="38" spans="1:20" x14ac:dyDescent="0.15">
      <c r="A38" s="282" t="s">
        <v>14</v>
      </c>
      <c r="B38" s="283"/>
      <c r="C38" s="284"/>
      <c r="D38" s="74" t="s">
        <v>38</v>
      </c>
      <c r="E38" s="5"/>
      <c r="F38" s="5"/>
      <c r="G38" s="6"/>
    </row>
    <row r="39" spans="1:20" x14ac:dyDescent="0.15">
      <c r="A39" s="48"/>
      <c r="B39" s="49"/>
      <c r="C39" s="2"/>
      <c r="D39" s="50"/>
      <c r="E39" s="5"/>
      <c r="F39" s="5"/>
      <c r="G39" s="6"/>
    </row>
    <row r="40" spans="1:20" x14ac:dyDescent="0.15">
      <c r="A40" s="14" t="s">
        <v>15</v>
      </c>
      <c r="B40" s="71">
        <v>800</v>
      </c>
      <c r="C40" s="15" t="s">
        <v>33</v>
      </c>
      <c r="D40" s="68">
        <v>15</v>
      </c>
      <c r="E40" s="8" t="s">
        <v>6</v>
      </c>
      <c r="F40" s="5"/>
      <c r="G40" s="6"/>
    </row>
    <row r="41" spans="1:20" x14ac:dyDescent="0.15">
      <c r="A41" s="14"/>
      <c r="B41" s="51"/>
      <c r="C41" s="15"/>
      <c r="D41" s="5"/>
      <c r="E41" s="8"/>
      <c r="F41" s="5"/>
      <c r="G41" s="6"/>
    </row>
    <row r="42" spans="1:20" ht="14" thickBot="1" x14ac:dyDescent="0.2">
      <c r="A42" s="11"/>
      <c r="B42" s="12"/>
      <c r="C42" s="12"/>
      <c r="D42" s="12"/>
      <c r="E42" s="12"/>
      <c r="F42" s="12"/>
      <c r="G42" s="13"/>
    </row>
    <row r="43" spans="1:20" ht="14" thickBot="1" x14ac:dyDescent="0.2">
      <c r="K43" s="66"/>
      <c r="M43" s="28"/>
    </row>
    <row r="44" spans="1:20" x14ac:dyDescent="0.15">
      <c r="A44" s="59"/>
      <c r="B44" s="60"/>
      <c r="C44" s="60"/>
      <c r="D44" s="60"/>
      <c r="E44" s="60"/>
      <c r="F44" s="60"/>
      <c r="G44" s="60"/>
      <c r="H44" s="61"/>
      <c r="K44" s="66"/>
      <c r="R44" s="81"/>
    </row>
    <row r="45" spans="1:20" x14ac:dyDescent="0.15">
      <c r="A45" s="278" t="s">
        <v>43</v>
      </c>
      <c r="B45" s="279"/>
      <c r="C45" s="279"/>
      <c r="D45" s="279"/>
      <c r="E45" s="279"/>
      <c r="F45" s="29">
        <f>IF(D38="Yes",X64*(F21*12)+B40+C19,X64*(F21*12)+C19)</f>
        <v>11388.329879992052</v>
      </c>
      <c r="G45" s="5"/>
      <c r="H45" s="6"/>
      <c r="J45" s="28"/>
      <c r="K45" s="47"/>
      <c r="L45" s="30"/>
      <c r="Q45" s="30"/>
      <c r="R45" s="82"/>
      <c r="S45" s="30"/>
      <c r="T45" s="30"/>
    </row>
    <row r="46" spans="1:20" x14ac:dyDescent="0.15">
      <c r="A46" s="7"/>
      <c r="B46" s="5"/>
      <c r="C46" s="5"/>
      <c r="D46" s="5"/>
      <c r="E46" s="5"/>
      <c r="F46" s="2"/>
      <c r="G46" s="5"/>
      <c r="H46" s="6"/>
      <c r="K46" s="47"/>
      <c r="L46" s="28"/>
      <c r="M46" s="28"/>
      <c r="O46" s="28"/>
    </row>
    <row r="47" spans="1:20" x14ac:dyDescent="0.15">
      <c r="A47" s="278" t="s">
        <v>44</v>
      </c>
      <c r="B47" s="279"/>
      <c r="C47" s="279"/>
      <c r="D47" s="279"/>
      <c r="E47" s="279"/>
      <c r="F47" s="24">
        <f>SUM(R610:AU610)</f>
        <v>72318.835163457203</v>
      </c>
      <c r="G47" s="5"/>
      <c r="H47" s="6"/>
      <c r="K47" s="34"/>
      <c r="L47" s="28"/>
      <c r="M47" s="28"/>
      <c r="R47" s="63"/>
    </row>
    <row r="48" spans="1:20" x14ac:dyDescent="0.15">
      <c r="A48" s="7"/>
      <c r="B48" s="5"/>
      <c r="C48" s="5"/>
      <c r="D48" s="5"/>
      <c r="E48" s="5"/>
      <c r="F48" s="2"/>
      <c r="G48" s="5"/>
      <c r="H48" s="6"/>
      <c r="K48" s="66"/>
      <c r="L48" s="58"/>
      <c r="M48" s="28"/>
      <c r="R48" s="28"/>
    </row>
    <row r="49" spans="1:25" x14ac:dyDescent="0.15">
      <c r="A49" s="278" t="str">
        <f>IF(F49&gt;0,"Total Savings:","Total Cost")</f>
        <v>Total Savings:</v>
      </c>
      <c r="B49" s="279"/>
      <c r="C49" s="279"/>
      <c r="D49" s="279"/>
      <c r="E49" s="279"/>
      <c r="F49" s="29">
        <f>W61</f>
        <v>60900</v>
      </c>
      <c r="G49" s="5"/>
      <c r="H49" s="6"/>
      <c r="K49" s="66"/>
      <c r="L49" s="28"/>
      <c r="M49" s="28"/>
    </row>
    <row r="50" spans="1:25" x14ac:dyDescent="0.15">
      <c r="A50" s="7"/>
      <c r="B50" s="5"/>
      <c r="C50" s="5"/>
      <c r="D50" s="5"/>
      <c r="E50" s="5"/>
      <c r="F50" s="2"/>
      <c r="G50" s="5"/>
      <c r="H50" s="6"/>
      <c r="J50" s="109"/>
      <c r="K50" s="34"/>
      <c r="L50" s="28"/>
      <c r="M50" s="28"/>
      <c r="O50" s="62"/>
      <c r="R50" s="64"/>
      <c r="S50" s="64"/>
    </row>
    <row r="51" spans="1:25" x14ac:dyDescent="0.15">
      <c r="A51" s="278" t="s">
        <v>45</v>
      </c>
      <c r="B51" s="279"/>
      <c r="C51" s="279"/>
      <c r="D51" s="279"/>
      <c r="E51" s="279"/>
      <c r="F51" s="17">
        <f>SUM(R614:AU614)</f>
        <v>9</v>
      </c>
      <c r="G51" s="8" t="s">
        <v>6</v>
      </c>
      <c r="H51" s="6"/>
      <c r="K51" s="66"/>
      <c r="M51" s="28"/>
      <c r="O51" s="62"/>
      <c r="T51" s="64"/>
      <c r="U51" s="64"/>
    </row>
    <row r="52" spans="1:25" x14ac:dyDescent="0.15">
      <c r="A52" s="7"/>
      <c r="B52" s="5"/>
      <c r="C52" s="5"/>
      <c r="D52" s="5"/>
      <c r="E52" s="5"/>
      <c r="F52" s="2"/>
      <c r="G52" s="5"/>
      <c r="H52" s="6"/>
      <c r="J52" s="28"/>
      <c r="K52" s="66"/>
      <c r="M52" s="28"/>
    </row>
    <row r="53" spans="1:25" x14ac:dyDescent="0.15">
      <c r="A53" s="278" t="s">
        <v>46</v>
      </c>
      <c r="B53" s="279"/>
      <c r="C53" s="279"/>
      <c r="D53" s="279"/>
      <c r="E53" s="279"/>
      <c r="F53" s="29">
        <f>F45/S63</f>
        <v>9.3108453462715526E-2</v>
      </c>
      <c r="G53" s="5"/>
      <c r="H53" s="6"/>
      <c r="K53" s="65"/>
    </row>
    <row r="54" spans="1:25" x14ac:dyDescent="0.15">
      <c r="A54" s="7"/>
      <c r="B54" s="5"/>
      <c r="C54" s="5"/>
      <c r="D54" s="5"/>
      <c r="E54" s="5"/>
      <c r="F54" s="5"/>
      <c r="G54" s="5"/>
      <c r="H54" s="6"/>
      <c r="I54" s="34"/>
      <c r="J54" s="34"/>
      <c r="K54" s="65"/>
      <c r="L54" s="34"/>
      <c r="M54" s="34"/>
      <c r="N54" s="34"/>
    </row>
    <row r="55" spans="1:25" x14ac:dyDescent="0.15">
      <c r="A55" s="278"/>
      <c r="B55" s="279"/>
      <c r="C55" s="279"/>
      <c r="D55" s="279"/>
      <c r="E55" s="279"/>
      <c r="F55" s="84"/>
      <c r="G55" s="5"/>
      <c r="H55" s="6"/>
      <c r="I55" s="79"/>
      <c r="J55" s="79"/>
      <c r="K55" s="79"/>
      <c r="L55" s="79"/>
      <c r="M55" s="79"/>
      <c r="N55" s="34"/>
    </row>
    <row r="56" spans="1:25" x14ac:dyDescent="0.15">
      <c r="A56" s="7"/>
      <c r="B56" s="5"/>
      <c r="C56" s="5"/>
      <c r="D56" s="5"/>
      <c r="E56" s="5"/>
      <c r="F56" s="5"/>
      <c r="G56" s="5"/>
      <c r="H56" s="6"/>
      <c r="I56" s="79"/>
      <c r="J56" s="79"/>
      <c r="K56" s="79"/>
      <c r="L56" s="79"/>
      <c r="M56" s="79"/>
      <c r="N56" s="34"/>
    </row>
    <row r="57" spans="1:25" ht="14" thickBot="1" x14ac:dyDescent="0.2">
      <c r="A57" s="11"/>
      <c r="B57" s="12"/>
      <c r="C57" s="12"/>
      <c r="D57" s="12"/>
      <c r="E57" s="12"/>
      <c r="F57" s="12"/>
      <c r="G57" s="12"/>
      <c r="H57" s="13"/>
      <c r="I57" s="79"/>
      <c r="J57" s="79"/>
      <c r="K57" s="79"/>
      <c r="L57" s="79"/>
      <c r="M57" s="79"/>
      <c r="N57" s="34"/>
    </row>
    <row r="58" spans="1:2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34"/>
      <c r="W58" s="243" t="s">
        <v>81</v>
      </c>
      <c r="X58" s="176">
        <f>F47-F45</f>
        <v>60930.505283465151</v>
      </c>
    </row>
    <row r="59" spans="1:25" ht="14" thickBot="1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34"/>
      <c r="W59" s="242">
        <f>X59*100</f>
        <v>60900</v>
      </c>
      <c r="X59" s="1">
        <f>IF(X58&gt;9999,ROUNDDOWN(X58/100,0),0)</f>
        <v>609</v>
      </c>
    </row>
    <row r="60" spans="1:25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R60" s="159" t="s">
        <v>51</v>
      </c>
      <c r="S60" s="180">
        <f>100000/S61</f>
        <v>7.0257611241217807E-2</v>
      </c>
      <c r="T60" s="28"/>
      <c r="U60" s="63"/>
      <c r="V60" s="92"/>
      <c r="W60" s="1">
        <f>X60*10</f>
        <v>0</v>
      </c>
      <c r="X60" s="1">
        <f>IF(X58&lt;10000,ROUNDDOWN(X58/10,0),0)</f>
        <v>0</v>
      </c>
    </row>
    <row r="61" spans="1:25" x14ac:dyDescent="0.1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  <c r="R61" s="159" t="s">
        <v>50</v>
      </c>
      <c r="S61" s="157">
        <f>D12/B7*1000</f>
        <v>1423333.3333333333</v>
      </c>
      <c r="U61" s="204"/>
      <c r="W61" s="25">
        <f>SUM(W59:W60)</f>
        <v>60900</v>
      </c>
    </row>
    <row r="62" spans="1:25" x14ac:dyDescent="0.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R62" s="159" t="s">
        <v>52</v>
      </c>
      <c r="S62" s="158">
        <f>(S61*S60)+X62</f>
        <v>100000</v>
      </c>
      <c r="T62" s="197"/>
      <c r="U62" s="113"/>
      <c r="V62" s="113"/>
      <c r="W62" s="113"/>
      <c r="X62" s="113"/>
      <c r="Y62" s="113"/>
    </row>
    <row r="63" spans="1:25" x14ac:dyDescent="0.1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6"/>
      <c r="R63" s="159" t="s">
        <v>65</v>
      </c>
      <c r="S63" s="160">
        <f>SUM(X67+X85+X103+X121+X139+X157+X175+X193+X211+X229+X247+X265+X283+X301+X319+X337+X355+X373+X391+X409+X427+X445+X463+X481+X499+X517+X535+X553+X571+X589)</f>
        <v>122312.5232614073</v>
      </c>
      <c r="T63" s="203"/>
      <c r="U63" s="196"/>
      <c r="W63" s="175" t="s">
        <v>61</v>
      </c>
      <c r="X63" s="29">
        <f>D9-C19</f>
        <v>6685</v>
      </c>
    </row>
    <row r="64" spans="1:25" x14ac:dyDescent="0.1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R64" s="159" t="s">
        <v>78</v>
      </c>
      <c r="S64" s="202">
        <f>SUM(R82+R100+R118+R136+R154+R172+R190+R208+R226+R244+R262+R280+R298+R316+R334+R352+R370+R388+R406+R424+R442+R460+R478+R496+R514+R532+R550+R568+R586+R604)</f>
        <v>122680.56495627612</v>
      </c>
      <c r="T64" s="200"/>
      <c r="U64" s="109"/>
      <c r="V64" s="199"/>
      <c r="W64" s="175" t="s">
        <v>60</v>
      </c>
      <c r="X64" s="29">
        <f>ABS(PMT(C21/12,F21*12,X63))</f>
        <v>44.118041166633553</v>
      </c>
    </row>
    <row r="65" spans="1:25" x14ac:dyDescent="0.1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S65" s="198"/>
      <c r="T65" s="201"/>
      <c r="U65" s="201"/>
      <c r="V65" s="34"/>
      <c r="W65" s="34"/>
      <c r="X65" s="34"/>
      <c r="Y65" s="34"/>
    </row>
    <row r="66" spans="1:25" ht="14" thickBot="1" x14ac:dyDescent="0.2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T66" s="34"/>
      <c r="U66" s="34"/>
      <c r="V66" s="34"/>
      <c r="W66" s="34"/>
      <c r="X66" s="65"/>
      <c r="Y66" s="65"/>
    </row>
    <row r="67" spans="1:25" ht="17" thickBot="1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R67" s="126" t="s">
        <v>48</v>
      </c>
      <c r="S67" s="153">
        <v>1</v>
      </c>
      <c r="T67" s="154" t="s">
        <v>66</v>
      </c>
      <c r="U67" s="143">
        <f>D12/12</f>
        <v>355.83333333333331</v>
      </c>
      <c r="V67" s="155" t="s">
        <v>68</v>
      </c>
      <c r="W67" s="19">
        <v>0</v>
      </c>
      <c r="X67" s="161">
        <f>IF(X82="",0,(U67*12-(U67*12)*$C$36)/POWER(1+0,S67))</f>
        <v>4257.1899999999996</v>
      </c>
    </row>
    <row r="68" spans="1:25" x14ac:dyDescent="0.1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  <c r="U68" s="182" t="s">
        <v>76</v>
      </c>
      <c r="V68" s="166">
        <f>IF(S67&lt;=$C$31,$C$29,IF(AND(S67&gt;$C$31,$B$34="Yes"),AVERAGE(U70:U81),$D$34))</f>
        <v>0.08</v>
      </c>
    </row>
    <row r="69" spans="1:25" x14ac:dyDescent="0.1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6"/>
      <c r="R69" s="122" t="s">
        <v>70</v>
      </c>
      <c r="S69" s="124">
        <f>$C$27</f>
        <v>0.4</v>
      </c>
      <c r="T69" s="125">
        <f>100%-$S69</f>
        <v>0.6</v>
      </c>
      <c r="U69" s="112" t="s">
        <v>72</v>
      </c>
      <c r="V69" s="115" t="s">
        <v>71</v>
      </c>
      <c r="W69" s="115" t="s">
        <v>67</v>
      </c>
      <c r="X69" s="116" t="s">
        <v>69</v>
      </c>
    </row>
    <row r="70" spans="1:25" x14ac:dyDescent="0.1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6"/>
      <c r="R70" s="166">
        <v>1</v>
      </c>
      <c r="S70" s="1">
        <f>$U$67*$C$27</f>
        <v>142.33333333333334</v>
      </c>
      <c r="T70" s="167">
        <f>$U$67*(100%-$C$27)</f>
        <v>213.49999999999997</v>
      </c>
      <c r="U70" s="168">
        <f>$C$14*(1+$W$67)</f>
        <v>0.3</v>
      </c>
      <c r="V70" s="169">
        <f>S70*$V$68</f>
        <v>11.386666666666668</v>
      </c>
      <c r="W70" s="170">
        <f t="shared" ref="W70:W81" si="9">T70*U70</f>
        <v>64.049999999999983</v>
      </c>
      <c r="X70" s="170">
        <f t="shared" ref="X70:X81" si="10">W70+V70</f>
        <v>75.436666666666653</v>
      </c>
    </row>
    <row r="71" spans="1:25" x14ac:dyDescent="0.1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6"/>
      <c r="R71" s="166">
        <v>2</v>
      </c>
      <c r="S71" s="1">
        <f t="shared" ref="S71:S81" si="11">$U$67*$C$27</f>
        <v>142.33333333333334</v>
      </c>
      <c r="T71" s="167">
        <f t="shared" ref="T71:T81" si="12">$U$67*(100%-$C$27)</f>
        <v>213.49999999999997</v>
      </c>
      <c r="U71" s="168">
        <f t="shared" ref="U71:U81" si="13">$C$14*(1+$W$67)</f>
        <v>0.3</v>
      </c>
      <c r="V71" s="169">
        <f t="shared" ref="V71:V81" si="14">S71*$V$68</f>
        <v>11.386666666666668</v>
      </c>
      <c r="W71" s="170">
        <f t="shared" si="9"/>
        <v>64.049999999999983</v>
      </c>
      <c r="X71" s="170">
        <f t="shared" si="10"/>
        <v>75.436666666666653</v>
      </c>
    </row>
    <row r="72" spans="1:25" x14ac:dyDescent="0.1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6"/>
      <c r="R72" s="166">
        <v>3</v>
      </c>
      <c r="S72" s="1">
        <f t="shared" si="11"/>
        <v>142.33333333333334</v>
      </c>
      <c r="T72" s="167">
        <f t="shared" si="12"/>
        <v>213.49999999999997</v>
      </c>
      <c r="U72" s="168">
        <f t="shared" si="13"/>
        <v>0.3</v>
      </c>
      <c r="V72" s="169">
        <f t="shared" si="14"/>
        <v>11.386666666666668</v>
      </c>
      <c r="W72" s="170">
        <f t="shared" si="9"/>
        <v>64.049999999999983</v>
      </c>
      <c r="X72" s="170">
        <f t="shared" si="10"/>
        <v>75.436666666666653</v>
      </c>
    </row>
    <row r="73" spans="1:25" x14ac:dyDescent="0.1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6"/>
      <c r="R73" s="166">
        <v>4</v>
      </c>
      <c r="S73" s="1">
        <f t="shared" si="11"/>
        <v>142.33333333333334</v>
      </c>
      <c r="T73" s="167">
        <f t="shared" si="12"/>
        <v>213.49999999999997</v>
      </c>
      <c r="U73" s="168">
        <f t="shared" si="13"/>
        <v>0.3</v>
      </c>
      <c r="V73" s="169">
        <f t="shared" si="14"/>
        <v>11.386666666666668</v>
      </c>
      <c r="W73" s="170">
        <f t="shared" si="9"/>
        <v>64.049999999999983</v>
      </c>
      <c r="X73" s="170">
        <f t="shared" si="10"/>
        <v>75.436666666666653</v>
      </c>
    </row>
    <row r="74" spans="1:25" x14ac:dyDescent="0.1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6"/>
      <c r="R74" s="166">
        <v>5</v>
      </c>
      <c r="S74" s="1">
        <f t="shared" si="11"/>
        <v>142.33333333333334</v>
      </c>
      <c r="T74" s="167">
        <f t="shared" si="12"/>
        <v>213.49999999999997</v>
      </c>
      <c r="U74" s="168">
        <f t="shared" si="13"/>
        <v>0.3</v>
      </c>
      <c r="V74" s="169">
        <f t="shared" si="14"/>
        <v>11.386666666666668</v>
      </c>
      <c r="W74" s="170">
        <f t="shared" si="9"/>
        <v>64.049999999999983</v>
      </c>
      <c r="X74" s="170">
        <f t="shared" si="10"/>
        <v>75.436666666666653</v>
      </c>
    </row>
    <row r="75" spans="1:25" x14ac:dyDescent="0.1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6"/>
      <c r="R75" s="166">
        <v>6</v>
      </c>
      <c r="S75" s="1">
        <f t="shared" si="11"/>
        <v>142.33333333333334</v>
      </c>
      <c r="T75" s="167">
        <f t="shared" si="12"/>
        <v>213.49999999999997</v>
      </c>
      <c r="U75" s="168">
        <f t="shared" si="13"/>
        <v>0.3</v>
      </c>
      <c r="V75" s="169">
        <f t="shared" si="14"/>
        <v>11.386666666666668</v>
      </c>
      <c r="W75" s="170">
        <f t="shared" si="9"/>
        <v>64.049999999999983</v>
      </c>
      <c r="X75" s="170">
        <f t="shared" si="10"/>
        <v>75.436666666666653</v>
      </c>
    </row>
    <row r="76" spans="1:25" ht="14" thickBot="1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3"/>
      <c r="R76" s="166">
        <v>7</v>
      </c>
      <c r="S76" s="1">
        <f t="shared" si="11"/>
        <v>142.33333333333334</v>
      </c>
      <c r="T76" s="167">
        <f t="shared" si="12"/>
        <v>213.49999999999997</v>
      </c>
      <c r="U76" s="168">
        <f t="shared" si="13"/>
        <v>0.3</v>
      </c>
      <c r="V76" s="169">
        <f t="shared" si="14"/>
        <v>11.386666666666668</v>
      </c>
      <c r="W76" s="170">
        <f t="shared" si="9"/>
        <v>64.049999999999983</v>
      </c>
      <c r="X76" s="170">
        <f t="shared" si="10"/>
        <v>75.436666666666653</v>
      </c>
    </row>
    <row r="77" spans="1:25" x14ac:dyDescent="0.15">
      <c r="H77" s="2"/>
      <c r="R77" s="166">
        <v>8</v>
      </c>
      <c r="S77" s="1">
        <f t="shared" si="11"/>
        <v>142.33333333333334</v>
      </c>
      <c r="T77" s="167">
        <f t="shared" si="12"/>
        <v>213.49999999999997</v>
      </c>
      <c r="U77" s="168">
        <f t="shared" si="13"/>
        <v>0.3</v>
      </c>
      <c r="V77" s="169">
        <f t="shared" si="14"/>
        <v>11.386666666666668</v>
      </c>
      <c r="W77" s="170">
        <f t="shared" si="9"/>
        <v>64.049999999999983</v>
      </c>
      <c r="X77" s="170">
        <f t="shared" si="10"/>
        <v>75.436666666666653</v>
      </c>
    </row>
    <row r="78" spans="1:25" x14ac:dyDescent="0.15">
      <c r="H78" s="2"/>
      <c r="R78" s="166">
        <v>9</v>
      </c>
      <c r="S78" s="1">
        <f t="shared" si="11"/>
        <v>142.33333333333334</v>
      </c>
      <c r="T78" s="167">
        <f t="shared" si="12"/>
        <v>213.49999999999997</v>
      </c>
      <c r="U78" s="168">
        <f t="shared" si="13"/>
        <v>0.3</v>
      </c>
      <c r="V78" s="169">
        <f t="shared" si="14"/>
        <v>11.386666666666668</v>
      </c>
      <c r="W78" s="170">
        <f t="shared" si="9"/>
        <v>64.049999999999983</v>
      </c>
      <c r="X78" s="170">
        <f t="shared" si="10"/>
        <v>75.436666666666653</v>
      </c>
    </row>
    <row r="79" spans="1:25" x14ac:dyDescent="0.15">
      <c r="H79" s="2"/>
      <c r="R79" s="166">
        <v>10</v>
      </c>
      <c r="S79" s="1">
        <f t="shared" si="11"/>
        <v>142.33333333333334</v>
      </c>
      <c r="T79" s="167">
        <f t="shared" si="12"/>
        <v>213.49999999999997</v>
      </c>
      <c r="U79" s="168">
        <f t="shared" si="13"/>
        <v>0.3</v>
      </c>
      <c r="V79" s="169">
        <f t="shared" si="14"/>
        <v>11.386666666666668</v>
      </c>
      <c r="W79" s="170">
        <f t="shared" si="9"/>
        <v>64.049999999999983</v>
      </c>
      <c r="X79" s="170">
        <f t="shared" si="10"/>
        <v>75.436666666666653</v>
      </c>
    </row>
    <row r="80" spans="1:25" x14ac:dyDescent="0.15">
      <c r="R80" s="166">
        <v>11</v>
      </c>
      <c r="S80" s="1">
        <f t="shared" si="11"/>
        <v>142.33333333333334</v>
      </c>
      <c r="T80" s="167">
        <f t="shared" si="12"/>
        <v>213.49999999999997</v>
      </c>
      <c r="U80" s="168">
        <f t="shared" si="13"/>
        <v>0.3</v>
      </c>
      <c r="V80" s="169">
        <f t="shared" si="14"/>
        <v>11.386666666666668</v>
      </c>
      <c r="W80" s="170">
        <f t="shared" si="9"/>
        <v>64.049999999999983</v>
      </c>
      <c r="X80" s="170">
        <f t="shared" si="10"/>
        <v>75.436666666666653</v>
      </c>
    </row>
    <row r="81" spans="18:25" x14ac:dyDescent="0.15">
      <c r="R81" s="166">
        <v>12</v>
      </c>
      <c r="S81" s="1">
        <f t="shared" si="11"/>
        <v>142.33333333333334</v>
      </c>
      <c r="T81" s="167">
        <f t="shared" si="12"/>
        <v>213.49999999999997</v>
      </c>
      <c r="U81" s="168">
        <f t="shared" si="13"/>
        <v>0.3</v>
      </c>
      <c r="V81" s="169">
        <f t="shared" si="14"/>
        <v>11.386666666666668</v>
      </c>
      <c r="W81" s="170">
        <f t="shared" si="9"/>
        <v>64.049999999999983</v>
      </c>
      <c r="X81" s="170">
        <f t="shared" si="10"/>
        <v>75.436666666666653</v>
      </c>
    </row>
    <row r="82" spans="18:25" ht="16" x14ac:dyDescent="0.3">
      <c r="R82" s="198">
        <f>SUM(S82:T82)</f>
        <v>4269.9999999999991</v>
      </c>
      <c r="S82" s="118">
        <f>IF($C$17&gt;=S67,SUM(S70:S81),"")</f>
        <v>1707.9999999999998</v>
      </c>
      <c r="T82" s="119">
        <f>IF($C$17&gt;=S67,SUM(T70:T81),"")</f>
        <v>2561.9999999999995</v>
      </c>
      <c r="U82" s="108">
        <v>0.3</v>
      </c>
      <c r="V82" s="120">
        <f>IF($C$17&gt;=S67,SUM(V70:V81),"")</f>
        <v>136.64000000000001</v>
      </c>
      <c r="W82" s="121">
        <f>IF($C$17&gt;=S67,SUM(W70:W81),"")</f>
        <v>768.59999999999957</v>
      </c>
      <c r="X82" s="121">
        <f>IF($C$17&gt;=S67,SUM(X70:X81),"")</f>
        <v>905.23999999999967</v>
      </c>
    </row>
    <row r="83" spans="18:25" x14ac:dyDescent="0.15">
      <c r="S83" s="112"/>
      <c r="T83" s="112"/>
      <c r="U83" s="112"/>
      <c r="V83" s="112"/>
      <c r="W83" s="156" t="s">
        <v>53</v>
      </c>
      <c r="X83" s="117">
        <f>IF(AND($D$38="Yes",$D$40+1=S67,$C$17&gt;=S67),$B$40,0)</f>
        <v>0</v>
      </c>
      <c r="Y83" s="142">
        <f>IF(X82="","",IF($D$38="No",X82,IF($D$38="Yes",X82-X83,X82)))</f>
        <v>905.23999999999967</v>
      </c>
    </row>
    <row r="84" spans="18:25" ht="14" thickBot="1" x14ac:dyDescent="0.2"/>
    <row r="85" spans="18:25" ht="17" thickBot="1" x14ac:dyDescent="0.25">
      <c r="R85" s="126" t="s">
        <v>48</v>
      </c>
      <c r="S85" s="127">
        <v>2</v>
      </c>
      <c r="T85" s="154" t="s">
        <v>66</v>
      </c>
      <c r="U85" s="165">
        <f>U67-($C$36*U67)</f>
        <v>354.76583333333332</v>
      </c>
      <c r="V85" s="155" t="s">
        <v>68</v>
      </c>
      <c r="W85" s="185">
        <f>ROUND($C$25/12,15)</f>
        <v>5.8333333333329997E-3</v>
      </c>
      <c r="X85" s="161">
        <f>IF(X100="",0,(U85*12-(U85*12)*$C$36)/POWER(1+0,S85))</f>
        <v>4244.4184299999997</v>
      </c>
      <c r="Y85" s="162"/>
    </row>
    <row r="86" spans="18:25" x14ac:dyDescent="0.15">
      <c r="U86" s="182" t="s">
        <v>76</v>
      </c>
      <c r="V86" s="166">
        <f>IF(S85&lt;=$C$31,$C$29,IF(AND(S85&gt;$C$31,$B$34="Yes"),AVERAGE(U88:U99),$D$34))</f>
        <v>0.08</v>
      </c>
    </row>
    <row r="87" spans="18:25" x14ac:dyDescent="0.15">
      <c r="R87" s="122" t="s">
        <v>70</v>
      </c>
      <c r="S87" s="124">
        <f>$C$27</f>
        <v>0.4</v>
      </c>
      <c r="T87" s="125">
        <f>100%-$S87</f>
        <v>0.6</v>
      </c>
      <c r="U87" s="112" t="s">
        <v>72</v>
      </c>
      <c r="V87" s="115" t="s">
        <v>71</v>
      </c>
      <c r="W87" s="115" t="s">
        <v>67</v>
      </c>
      <c r="X87" s="116" t="s">
        <v>69</v>
      </c>
      <c r="Y87" s="90"/>
    </row>
    <row r="88" spans="18:25" x14ac:dyDescent="0.15">
      <c r="R88" s="166">
        <v>1</v>
      </c>
      <c r="S88" s="172">
        <f>$U$85*$C$27</f>
        <v>141.90633333333332</v>
      </c>
      <c r="T88" s="187">
        <f>($U$85*(100%-$C$27))</f>
        <v>212.8595</v>
      </c>
      <c r="U88" s="188">
        <f>(C14*(1+W85))</f>
        <v>0.30174999999999985</v>
      </c>
      <c r="V88" s="169">
        <f>S88*$V$86</f>
        <v>11.352506666666667</v>
      </c>
      <c r="W88" s="186">
        <f>T88*U88</f>
        <v>64.230354124999963</v>
      </c>
      <c r="X88" s="170">
        <f>W88+V88</f>
        <v>75.582860791666633</v>
      </c>
      <c r="Y88" s="34"/>
    </row>
    <row r="89" spans="18:25" x14ac:dyDescent="0.15">
      <c r="R89" s="166">
        <v>2</v>
      </c>
      <c r="S89" s="172">
        <f t="shared" ref="S89:S99" si="15">$U$85*$C$27</f>
        <v>141.90633333333332</v>
      </c>
      <c r="T89" s="187">
        <f t="shared" ref="T89:T99" si="16">($U$85*(100%-$C$27))</f>
        <v>212.8595</v>
      </c>
      <c r="U89" s="188">
        <f>(U88*(1+$W$85))</f>
        <v>0.30351020833333303</v>
      </c>
      <c r="V89" s="169">
        <f t="shared" ref="V89:V99" si="17">S89*$V$86</f>
        <v>11.352506666666667</v>
      </c>
      <c r="W89" s="186">
        <f>T89*U89</f>
        <v>64.605031190729107</v>
      </c>
      <c r="X89" s="170">
        <f>W89+V89</f>
        <v>75.957537857395778</v>
      </c>
      <c r="Y89" s="34"/>
    </row>
    <row r="90" spans="18:25" x14ac:dyDescent="0.15">
      <c r="R90" s="166">
        <v>3</v>
      </c>
      <c r="S90" s="172">
        <f t="shared" si="15"/>
        <v>141.90633333333332</v>
      </c>
      <c r="T90" s="187">
        <f t="shared" si="16"/>
        <v>212.8595</v>
      </c>
      <c r="U90" s="188">
        <f t="shared" ref="U90:U99" si="18">(U89*(1+$W$85))</f>
        <v>0.30528068454861068</v>
      </c>
      <c r="V90" s="169">
        <f t="shared" si="17"/>
        <v>11.352506666666667</v>
      </c>
      <c r="W90" s="186">
        <f>T90*U90</f>
        <v>64.981893872674988</v>
      </c>
      <c r="X90" s="170">
        <f>W90+V90</f>
        <v>76.334400539341658</v>
      </c>
      <c r="Y90" s="34"/>
    </row>
    <row r="91" spans="18:25" x14ac:dyDescent="0.15">
      <c r="R91" s="166">
        <v>4</v>
      </c>
      <c r="S91" s="172">
        <f t="shared" si="15"/>
        <v>141.90633333333332</v>
      </c>
      <c r="T91" s="187">
        <f t="shared" si="16"/>
        <v>212.8595</v>
      </c>
      <c r="U91" s="188">
        <f t="shared" si="18"/>
        <v>0.30706148854181076</v>
      </c>
      <c r="V91" s="169">
        <f t="shared" si="17"/>
        <v>11.352506666666667</v>
      </c>
      <c r="W91" s="186">
        <f t="shared" ref="W91:W98" si="19">T91*U91</f>
        <v>65.36095492026557</v>
      </c>
      <c r="X91" s="170">
        <f t="shared" ref="X91:X99" si="20">W91+V91</f>
        <v>76.71346158693224</v>
      </c>
      <c r="Y91" s="34"/>
    </row>
    <row r="92" spans="18:25" x14ac:dyDescent="0.15">
      <c r="R92" s="166">
        <v>5</v>
      </c>
      <c r="S92" s="172">
        <f t="shared" si="15"/>
        <v>141.90633333333332</v>
      </c>
      <c r="T92" s="187">
        <f t="shared" si="16"/>
        <v>212.8595</v>
      </c>
      <c r="U92" s="188">
        <f t="shared" si="18"/>
        <v>0.3088526805583045</v>
      </c>
      <c r="V92" s="169">
        <f t="shared" si="17"/>
        <v>11.352506666666667</v>
      </c>
      <c r="W92" s="186">
        <f t="shared" si="19"/>
        <v>65.74222715730042</v>
      </c>
      <c r="X92" s="170">
        <f t="shared" si="20"/>
        <v>77.09473382396709</v>
      </c>
      <c r="Y92" s="34"/>
    </row>
    <row r="93" spans="18:25" x14ac:dyDescent="0.15">
      <c r="R93" s="166">
        <v>6</v>
      </c>
      <c r="S93" s="172">
        <f t="shared" si="15"/>
        <v>141.90633333333332</v>
      </c>
      <c r="T93" s="187">
        <f t="shared" si="16"/>
        <v>212.8595</v>
      </c>
      <c r="U93" s="188">
        <f t="shared" si="18"/>
        <v>0.3106543211948945</v>
      </c>
      <c r="V93" s="169">
        <f t="shared" si="17"/>
        <v>11.352506666666667</v>
      </c>
      <c r="W93" s="186">
        <f t="shared" si="19"/>
        <v>66.125723482384643</v>
      </c>
      <c r="X93" s="170">
        <f t="shared" si="20"/>
        <v>77.478230149051313</v>
      </c>
      <c r="Y93" s="34"/>
    </row>
    <row r="94" spans="18:25" x14ac:dyDescent="0.15">
      <c r="R94" s="166">
        <v>7</v>
      </c>
      <c r="S94" s="172">
        <f t="shared" si="15"/>
        <v>141.90633333333332</v>
      </c>
      <c r="T94" s="187">
        <f t="shared" si="16"/>
        <v>212.8595</v>
      </c>
      <c r="U94" s="188">
        <f t="shared" si="18"/>
        <v>0.31246647140186457</v>
      </c>
      <c r="V94" s="169">
        <f t="shared" si="17"/>
        <v>11.352506666666667</v>
      </c>
      <c r="W94" s="186">
        <f t="shared" si="19"/>
        <v>66.51145686936519</v>
      </c>
      <c r="X94" s="170">
        <f t="shared" si="20"/>
        <v>77.863963536031861</v>
      </c>
      <c r="Y94" s="34"/>
    </row>
    <row r="95" spans="18:25" x14ac:dyDescent="0.15">
      <c r="R95" s="166">
        <v>8</v>
      </c>
      <c r="S95" s="172">
        <f t="shared" si="15"/>
        <v>141.90633333333332</v>
      </c>
      <c r="T95" s="187">
        <f t="shared" si="16"/>
        <v>212.8595</v>
      </c>
      <c r="U95" s="188">
        <f t="shared" si="18"/>
        <v>0.314289192485042</v>
      </c>
      <c r="V95" s="169">
        <f t="shared" si="17"/>
        <v>11.352506666666667</v>
      </c>
      <c r="W95" s="186">
        <f t="shared" si="19"/>
        <v>66.899440367769799</v>
      </c>
      <c r="X95" s="170">
        <f t="shared" si="20"/>
        <v>78.251947034436469</v>
      </c>
      <c r="Y95" s="34"/>
    </row>
    <row r="96" spans="18:25" x14ac:dyDescent="0.15">
      <c r="R96" s="166">
        <v>9</v>
      </c>
      <c r="S96" s="172">
        <f t="shared" si="15"/>
        <v>141.90633333333332</v>
      </c>
      <c r="T96" s="187">
        <f t="shared" si="16"/>
        <v>212.8595</v>
      </c>
      <c r="U96" s="188">
        <f t="shared" si="18"/>
        <v>0.31612254610787127</v>
      </c>
      <c r="V96" s="169">
        <f t="shared" si="17"/>
        <v>11.352506666666667</v>
      </c>
      <c r="W96" s="186">
        <f t="shared" si="19"/>
        <v>67.289687103248426</v>
      </c>
      <c r="X96" s="170">
        <f t="shared" si="20"/>
        <v>78.642193769915096</v>
      </c>
      <c r="Y96" s="34"/>
    </row>
    <row r="97" spans="18:25" x14ac:dyDescent="0.15">
      <c r="R97" s="166">
        <v>10</v>
      </c>
      <c r="S97" s="172">
        <f t="shared" si="15"/>
        <v>141.90633333333332</v>
      </c>
      <c r="T97" s="187">
        <f t="shared" si="16"/>
        <v>212.8595</v>
      </c>
      <c r="U97" s="188">
        <f t="shared" si="18"/>
        <v>0.31796659429350038</v>
      </c>
      <c r="V97" s="169">
        <f t="shared" si="17"/>
        <v>11.352506666666667</v>
      </c>
      <c r="W97" s="186">
        <f t="shared" si="19"/>
        <v>67.682210278017337</v>
      </c>
      <c r="X97" s="170">
        <f t="shared" si="20"/>
        <v>79.034716944684007</v>
      </c>
      <c r="Y97" s="34"/>
    </row>
    <row r="98" spans="18:25" x14ac:dyDescent="0.15">
      <c r="R98" s="166">
        <v>11</v>
      </c>
      <c r="S98" s="172">
        <f t="shared" si="15"/>
        <v>141.90633333333332</v>
      </c>
      <c r="T98" s="187">
        <f t="shared" si="16"/>
        <v>212.8595</v>
      </c>
      <c r="U98" s="188">
        <f t="shared" si="18"/>
        <v>0.31982139942687898</v>
      </c>
      <c r="V98" s="169">
        <f t="shared" si="17"/>
        <v>11.352506666666667</v>
      </c>
      <c r="W98" s="186">
        <f t="shared" si="19"/>
        <v>68.07702317130574</v>
      </c>
      <c r="X98" s="170">
        <f t="shared" si="20"/>
        <v>79.42952983797241</v>
      </c>
      <c r="Y98" s="34"/>
    </row>
    <row r="99" spans="18:25" x14ac:dyDescent="0.15">
      <c r="R99" s="166">
        <v>12</v>
      </c>
      <c r="S99" s="172">
        <f t="shared" si="15"/>
        <v>141.90633333333332</v>
      </c>
      <c r="T99" s="187">
        <f t="shared" si="16"/>
        <v>212.8595</v>
      </c>
      <c r="U99" s="188">
        <f t="shared" si="18"/>
        <v>0.32168702425686896</v>
      </c>
      <c r="V99" s="169">
        <f t="shared" si="17"/>
        <v>11.352506666666667</v>
      </c>
      <c r="W99" s="186">
        <f>T99*U99</f>
        <v>68.474139139805004</v>
      </c>
      <c r="X99" s="170">
        <f t="shared" si="20"/>
        <v>79.826645806471674</v>
      </c>
      <c r="Y99" s="34"/>
    </row>
    <row r="100" spans="18:25" ht="16" x14ac:dyDescent="0.3">
      <c r="R100" s="198">
        <f>SUM(S100:T100)</f>
        <v>4257.1899999999996</v>
      </c>
      <c r="S100" s="118">
        <f>IF($C$17&gt;=S85,SUM(S88:S99),"")</f>
        <v>1702.876</v>
      </c>
      <c r="T100" s="119">
        <f>IF($C$17&gt;=S85,SUM(T88:T99),"")</f>
        <v>2554.3139999999999</v>
      </c>
      <c r="U100" s="184">
        <f>IF(Y101="",0,AVERAGE(U88:U99))</f>
        <v>0.31162188426241494</v>
      </c>
      <c r="V100" s="120">
        <f>IF($C$17&gt;=S85,SUM(V88:V99),"")</f>
        <v>136.23008000000002</v>
      </c>
      <c r="W100" s="121">
        <f>IF($C$17&gt;=S85,SUM(W88:W99),"")</f>
        <v>795.98014167786619</v>
      </c>
      <c r="X100" s="121">
        <f>IF($C$17&gt;=S85,SUM(X88:X99),"")</f>
        <v>932.21022167786623</v>
      </c>
    </row>
    <row r="101" spans="18:25" x14ac:dyDescent="0.15">
      <c r="S101" s="112"/>
      <c r="T101" s="112"/>
      <c r="U101" s="181"/>
      <c r="V101" s="112"/>
      <c r="W101" s="156" t="s">
        <v>53</v>
      </c>
      <c r="X101" s="117">
        <f>IF(AND($D$38="Yes",$D$40+1=S85,$C$17&gt;=S85),$B$40,0)</f>
        <v>0</v>
      </c>
      <c r="Y101" s="142">
        <f>IF(X100="","",IF($D$38="No",X100,IF($D$38="Yes",X100-X101,X100)))</f>
        <v>932.21022167786623</v>
      </c>
    </row>
    <row r="102" spans="18:25" ht="14" thickBot="1" x14ac:dyDescent="0.2">
      <c r="S102" s="112"/>
      <c r="T102" s="112"/>
      <c r="U102" s="112"/>
      <c r="V102" s="112"/>
      <c r="W102" s="34"/>
      <c r="X102" s="34"/>
      <c r="Y102" s="34"/>
    </row>
    <row r="103" spans="18:25" ht="17" thickBot="1" x14ac:dyDescent="0.25">
      <c r="R103" s="126" t="s">
        <v>48</v>
      </c>
      <c r="S103" s="127">
        <v>3</v>
      </c>
      <c r="T103" s="154" t="s">
        <v>66</v>
      </c>
      <c r="U103" s="143">
        <f>U85-($C$36*U85)</f>
        <v>353.70153583333331</v>
      </c>
      <c r="V103" s="155" t="s">
        <v>68</v>
      </c>
      <c r="W103" s="185">
        <f>ROUND($C$25/12,15)</f>
        <v>5.8333333333329997E-3</v>
      </c>
      <c r="X103" s="161">
        <f>IF(X118="",0,(U103*12-(U103*12)*$C$36)/POWER(1+0,S103))</f>
        <v>4231.68517471</v>
      </c>
      <c r="Y103" s="34"/>
    </row>
    <row r="104" spans="18:25" x14ac:dyDescent="0.15">
      <c r="U104" s="182" t="s">
        <v>76</v>
      </c>
      <c r="V104" s="166">
        <f>IF(S103&lt;=$C$31,$C$29,IF(AND(S103&gt;$C$31,$B$34="Yes"),AVERAGE(U106:U117),$D$34))</f>
        <v>0.08</v>
      </c>
      <c r="Y104" s="34"/>
    </row>
    <row r="105" spans="18:25" x14ac:dyDescent="0.15">
      <c r="R105" s="122" t="s">
        <v>70</v>
      </c>
      <c r="S105" s="124">
        <f>$C$27</f>
        <v>0.4</v>
      </c>
      <c r="T105" s="125">
        <f>100%-$S105</f>
        <v>0.6</v>
      </c>
      <c r="U105" s="112" t="s">
        <v>72</v>
      </c>
      <c r="V105" s="115" t="s">
        <v>71</v>
      </c>
      <c r="W105" s="115" t="s">
        <v>67</v>
      </c>
      <c r="X105" s="116" t="s">
        <v>69</v>
      </c>
      <c r="Y105" s="34"/>
    </row>
    <row r="106" spans="18:25" x14ac:dyDescent="0.15">
      <c r="R106" s="166">
        <v>1</v>
      </c>
      <c r="S106" s="1">
        <f>$U$103*$C$27</f>
        <v>141.48061433333334</v>
      </c>
      <c r="T106" s="167">
        <f>$U$103*(100%-$C$27)</f>
        <v>212.22092149999997</v>
      </c>
      <c r="U106" s="168">
        <f>(U99*(1+$W$103))</f>
        <v>0.32356353189836723</v>
      </c>
      <c r="V106" s="169">
        <f>S106*$V$104</f>
        <v>11.318449146666667</v>
      </c>
      <c r="W106" s="170">
        <f t="shared" ref="W106:W117" si="21">T106*U106</f>
        <v>68.666950903266127</v>
      </c>
      <c r="X106" s="170">
        <f t="shared" ref="X106:X117" si="22">W106+V106</f>
        <v>79.985400049932792</v>
      </c>
      <c r="Y106" s="34"/>
    </row>
    <row r="107" spans="18:25" x14ac:dyDescent="0.15">
      <c r="R107" s="166">
        <v>2</v>
      </c>
      <c r="S107" s="1">
        <f t="shared" ref="S107:S117" si="23">$U$103*$C$27</f>
        <v>141.48061433333334</v>
      </c>
      <c r="T107" s="167">
        <f t="shared" ref="T107:T117" si="24">$U$103*(100%-$C$27)</f>
        <v>212.22092149999997</v>
      </c>
      <c r="U107" s="168">
        <f>(U106*(1+$W$103))</f>
        <v>0.32545098583444088</v>
      </c>
      <c r="V107" s="169">
        <f t="shared" ref="V107:V117" si="25">S107*$V$104</f>
        <v>11.318449146666667</v>
      </c>
      <c r="W107" s="170">
        <f t="shared" si="21"/>
        <v>69.067508116868481</v>
      </c>
      <c r="X107" s="170">
        <f>W107+V107</f>
        <v>80.385957263535147</v>
      </c>
      <c r="Y107" s="34"/>
    </row>
    <row r="108" spans="18:25" x14ac:dyDescent="0.15">
      <c r="R108" s="166">
        <v>3</v>
      </c>
      <c r="S108" s="1">
        <f t="shared" si="23"/>
        <v>141.48061433333334</v>
      </c>
      <c r="T108" s="167">
        <f t="shared" si="24"/>
        <v>212.22092149999997</v>
      </c>
      <c r="U108" s="168">
        <f t="shared" ref="U108:U117" si="26">(U107*(1+$W$103))</f>
        <v>0.32734944991847498</v>
      </c>
      <c r="V108" s="169">
        <f t="shared" si="25"/>
        <v>11.318449146666667</v>
      </c>
      <c r="W108" s="170">
        <f t="shared" si="21"/>
        <v>69.470401914216851</v>
      </c>
      <c r="X108" s="170">
        <f t="shared" si="22"/>
        <v>80.788851060883516</v>
      </c>
      <c r="Y108" s="34"/>
    </row>
    <row r="109" spans="18:25" x14ac:dyDescent="0.15">
      <c r="R109" s="166">
        <v>4</v>
      </c>
      <c r="S109" s="1">
        <f t="shared" si="23"/>
        <v>141.48061433333334</v>
      </c>
      <c r="T109" s="167">
        <f t="shared" si="24"/>
        <v>212.22092149999997</v>
      </c>
      <c r="U109" s="168">
        <f t="shared" si="26"/>
        <v>0.32925898837633261</v>
      </c>
      <c r="V109" s="169">
        <f t="shared" si="25"/>
        <v>11.318449146666667</v>
      </c>
      <c r="W109" s="170">
        <f t="shared" si="21"/>
        <v>69.875645925383083</v>
      </c>
      <c r="X109" s="170">
        <f t="shared" si="22"/>
        <v>81.194095072049748</v>
      </c>
      <c r="Y109" s="34"/>
    </row>
    <row r="110" spans="18:25" x14ac:dyDescent="0.15">
      <c r="R110" s="166">
        <v>5</v>
      </c>
      <c r="S110" s="1">
        <f t="shared" si="23"/>
        <v>141.48061433333334</v>
      </c>
      <c r="T110" s="167">
        <f t="shared" si="24"/>
        <v>212.22092149999997</v>
      </c>
      <c r="U110" s="168">
        <f t="shared" si="26"/>
        <v>0.33117966580852776</v>
      </c>
      <c r="V110" s="169">
        <f t="shared" si="25"/>
        <v>11.318449146666667</v>
      </c>
      <c r="W110" s="170">
        <f t="shared" si="21"/>
        <v>70.283253859947791</v>
      </c>
      <c r="X110" s="170">
        <f t="shared" si="22"/>
        <v>81.601703006614457</v>
      </c>
      <c r="Y110" s="34"/>
    </row>
    <row r="111" spans="18:25" x14ac:dyDescent="0.15">
      <c r="R111" s="166">
        <v>6</v>
      </c>
      <c r="S111" s="1">
        <f t="shared" si="23"/>
        <v>141.48061433333334</v>
      </c>
      <c r="T111" s="167">
        <f t="shared" si="24"/>
        <v>212.22092149999997</v>
      </c>
      <c r="U111" s="168">
        <f t="shared" si="26"/>
        <v>0.33311154719241071</v>
      </c>
      <c r="V111" s="169">
        <f t="shared" si="25"/>
        <v>11.318449146666667</v>
      </c>
      <c r="W111" s="170">
        <f t="shared" si="21"/>
        <v>70.693239507464128</v>
      </c>
      <c r="X111" s="170">
        <f t="shared" si="22"/>
        <v>82.011688654130793</v>
      </c>
      <c r="Y111" s="34"/>
    </row>
    <row r="112" spans="18:25" x14ac:dyDescent="0.15">
      <c r="R112" s="166">
        <v>7</v>
      </c>
      <c r="S112" s="1">
        <f t="shared" si="23"/>
        <v>141.48061433333334</v>
      </c>
      <c r="T112" s="167">
        <f t="shared" si="24"/>
        <v>212.22092149999997</v>
      </c>
      <c r="U112" s="168">
        <f t="shared" si="26"/>
        <v>0.33505469788436631</v>
      </c>
      <c r="V112" s="169">
        <f t="shared" si="25"/>
        <v>11.318449146666667</v>
      </c>
      <c r="W112" s="170">
        <f t="shared" si="21"/>
        <v>71.105616737924308</v>
      </c>
      <c r="X112" s="170">
        <f t="shared" si="22"/>
        <v>82.424065884590973</v>
      </c>
      <c r="Y112" s="34"/>
    </row>
    <row r="113" spans="18:25" x14ac:dyDescent="0.15">
      <c r="R113" s="166">
        <v>8</v>
      </c>
      <c r="S113" s="1">
        <f t="shared" si="23"/>
        <v>141.48061433333334</v>
      </c>
      <c r="T113" s="167">
        <f t="shared" si="24"/>
        <v>212.22092149999997</v>
      </c>
      <c r="U113" s="168">
        <f t="shared" si="26"/>
        <v>0.33700918362202498</v>
      </c>
      <c r="V113" s="169">
        <f t="shared" si="25"/>
        <v>11.318449146666667</v>
      </c>
      <c r="W113" s="170">
        <f t="shared" si="21"/>
        <v>71.520399502228841</v>
      </c>
      <c r="X113" s="170">
        <f t="shared" si="22"/>
        <v>82.838848648895507</v>
      </c>
      <c r="Y113" s="34"/>
    </row>
    <row r="114" spans="18:25" x14ac:dyDescent="0.15">
      <c r="R114" s="166">
        <v>9</v>
      </c>
      <c r="S114" s="1">
        <f t="shared" si="23"/>
        <v>141.48061433333334</v>
      </c>
      <c r="T114" s="167">
        <f t="shared" si="24"/>
        <v>212.22092149999997</v>
      </c>
      <c r="U114" s="168">
        <f t="shared" si="26"/>
        <v>0.33897507052648662</v>
      </c>
      <c r="V114" s="169">
        <f t="shared" si="25"/>
        <v>11.318449146666667</v>
      </c>
      <c r="W114" s="170">
        <f t="shared" si="21"/>
        <v>71.937601832658473</v>
      </c>
      <c r="X114" s="170">
        <f t="shared" si="22"/>
        <v>83.256050979325138</v>
      </c>
      <c r="Y114" s="34"/>
    </row>
    <row r="115" spans="18:25" x14ac:dyDescent="0.15">
      <c r="R115" s="166">
        <v>10</v>
      </c>
      <c r="S115" s="1">
        <f t="shared" si="23"/>
        <v>141.48061433333334</v>
      </c>
      <c r="T115" s="167">
        <f t="shared" si="24"/>
        <v>212.22092149999997</v>
      </c>
      <c r="U115" s="168">
        <f t="shared" si="26"/>
        <v>0.34095242510455764</v>
      </c>
      <c r="V115" s="169">
        <f t="shared" si="25"/>
        <v>11.318449146666667</v>
      </c>
      <c r="W115" s="170">
        <f t="shared" si="21"/>
        <v>72.357237843348955</v>
      </c>
      <c r="X115" s="170">
        <f t="shared" si="22"/>
        <v>83.67568699001562</v>
      </c>
      <c r="Y115" s="34"/>
    </row>
    <row r="116" spans="18:25" x14ac:dyDescent="0.15">
      <c r="R116" s="166">
        <v>11</v>
      </c>
      <c r="S116" s="1">
        <f t="shared" si="23"/>
        <v>141.48061433333334</v>
      </c>
      <c r="T116" s="167">
        <f t="shared" si="24"/>
        <v>212.22092149999997</v>
      </c>
      <c r="U116" s="168">
        <f t="shared" si="26"/>
        <v>0.34294131425100077</v>
      </c>
      <c r="V116" s="169">
        <f t="shared" si="25"/>
        <v>11.318449146666667</v>
      </c>
      <c r="W116" s="170">
        <f t="shared" si="21"/>
        <v>72.779321730768459</v>
      </c>
      <c r="X116" s="170">
        <f t="shared" si="22"/>
        <v>84.097770877435124</v>
      </c>
      <c r="Y116" s="34"/>
    </row>
    <row r="117" spans="18:25" x14ac:dyDescent="0.15">
      <c r="R117" s="166">
        <v>12</v>
      </c>
      <c r="S117" s="1">
        <f t="shared" si="23"/>
        <v>141.48061433333334</v>
      </c>
      <c r="T117" s="167">
        <f t="shared" si="24"/>
        <v>212.22092149999997</v>
      </c>
      <c r="U117" s="168">
        <f t="shared" si="26"/>
        <v>0.34494180525079815</v>
      </c>
      <c r="V117" s="169">
        <f t="shared" si="25"/>
        <v>11.318449146666667</v>
      </c>
      <c r="W117" s="170">
        <f t="shared" si="21"/>
        <v>73.203867774197917</v>
      </c>
      <c r="X117" s="170">
        <f t="shared" si="22"/>
        <v>84.522316920864583</v>
      </c>
      <c r="Y117" s="34"/>
    </row>
    <row r="118" spans="18:25" ht="16" x14ac:dyDescent="0.3">
      <c r="R118" s="198">
        <f>SUM(S118:T118)</f>
        <v>4244.4184299999988</v>
      </c>
      <c r="S118" s="118">
        <f>IF($C$17&gt;=S103,SUM(S106:S117),"")</f>
        <v>1697.7673719999996</v>
      </c>
      <c r="T118" s="119">
        <f>IF($C$17&gt;=S103,SUM(T106:T117),"")</f>
        <v>2546.6510579999995</v>
      </c>
      <c r="U118" s="184">
        <f>IF(Y119="",0,AVERAGE(U106:U117))</f>
        <v>0.33414905547231571</v>
      </c>
      <c r="V118" s="120">
        <f>IF($C$17&gt;=S103,SUM(V106:V117),"")</f>
        <v>135.82138976000002</v>
      </c>
      <c r="W118" s="121">
        <f>IF($C$17&gt;=S103,SUM(W106:W117),"")</f>
        <v>850.9610456482734</v>
      </c>
      <c r="X118" s="121">
        <f>IF($C$17&gt;=S103,SUM(X106:X117),"")</f>
        <v>986.78243540827327</v>
      </c>
      <c r="Y118" s="34"/>
    </row>
    <row r="119" spans="18:25" x14ac:dyDescent="0.15">
      <c r="W119" s="156" t="s">
        <v>53</v>
      </c>
      <c r="X119" s="117">
        <f>IF(AND($D$38="Yes",$D$40+1=S103,$C$17&gt;=S103),$B$40,0)</f>
        <v>0</v>
      </c>
      <c r="Y119" s="142">
        <f>IF(X118="","",IF($D$38="No",X118,IF($D$38="Yes",X118-X119,X118)))</f>
        <v>986.78243540827327</v>
      </c>
    </row>
    <row r="120" spans="18:25" ht="14" thickBot="1" x14ac:dyDescent="0.2"/>
    <row r="121" spans="18:25" ht="17" thickBot="1" x14ac:dyDescent="0.25">
      <c r="R121" s="126" t="s">
        <v>48</v>
      </c>
      <c r="S121" s="127">
        <v>4</v>
      </c>
      <c r="T121" s="154" t="s">
        <v>66</v>
      </c>
      <c r="U121" s="143">
        <f>U103-($C$36*U103)</f>
        <v>352.64043122583331</v>
      </c>
      <c r="V121" s="155" t="s">
        <v>68</v>
      </c>
      <c r="W121" s="185">
        <f>ROUND($C$25/12,15)</f>
        <v>5.8333333333329997E-3</v>
      </c>
      <c r="X121" s="161">
        <f>IF(X136="",0,(U121*12-(U121*12)*$C$36)/POWER(1+0,S121))</f>
        <v>4218.9901191858698</v>
      </c>
    </row>
    <row r="122" spans="18:25" x14ac:dyDescent="0.15">
      <c r="U122" s="182" t="s">
        <v>76</v>
      </c>
      <c r="V122" s="166">
        <f>IF(S121&lt;=$C$31,$C$29,IF(AND(S121&gt;$C$31,$B$34="Yes"),AVERAGE(U124:U135),$D$34))</f>
        <v>0.08</v>
      </c>
    </row>
    <row r="123" spans="18:25" x14ac:dyDescent="0.15">
      <c r="R123" s="122" t="s">
        <v>70</v>
      </c>
      <c r="S123" s="124">
        <f>$C$27</f>
        <v>0.4</v>
      </c>
      <c r="T123" s="125">
        <f>100%-$S123</f>
        <v>0.6</v>
      </c>
      <c r="U123" s="112" t="s">
        <v>72</v>
      </c>
      <c r="V123" s="115" t="s">
        <v>71</v>
      </c>
      <c r="W123" s="115" t="s">
        <v>67</v>
      </c>
      <c r="X123" s="116" t="s">
        <v>69</v>
      </c>
    </row>
    <row r="124" spans="18:25" x14ac:dyDescent="0.15">
      <c r="R124" s="166">
        <v>1</v>
      </c>
      <c r="S124" s="1">
        <f>$U$121*$C$27</f>
        <v>141.05617249033332</v>
      </c>
      <c r="T124" s="167">
        <f>$U$121*(100%-$C$27)</f>
        <v>211.58425873549999</v>
      </c>
      <c r="U124" s="168">
        <f>U117*(1+$W$103)</f>
        <v>0.34695396578142768</v>
      </c>
      <c r="V124" s="169">
        <f>S124*$V$122</f>
        <v>11.284493799226667</v>
      </c>
      <c r="W124" s="170">
        <f t="shared" ref="W124:W135" si="27">T124*U124</f>
        <v>73.409997665205395</v>
      </c>
      <c r="X124" s="170">
        <f t="shared" ref="X124:X135" si="28">W124+V124</f>
        <v>84.694491464432062</v>
      </c>
    </row>
    <row r="125" spans="18:25" x14ac:dyDescent="0.15">
      <c r="R125" s="166">
        <v>2</v>
      </c>
      <c r="S125" s="1">
        <f t="shared" ref="S125:S135" si="29">$U$121*$C$27</f>
        <v>141.05617249033332</v>
      </c>
      <c r="T125" s="167">
        <f t="shared" ref="T125:T135" si="30">$U$121*(100%-$C$27)</f>
        <v>211.58425873549999</v>
      </c>
      <c r="U125" s="168">
        <f t="shared" ref="U125:U135" si="31">U124*(1+$W$121)</f>
        <v>0.34897786391515251</v>
      </c>
      <c r="V125" s="169">
        <f t="shared" ref="V125:V135" si="32">S125*$V$122</f>
        <v>11.284493799226667</v>
      </c>
      <c r="W125" s="170">
        <f t="shared" si="27"/>
        <v>73.838222651585738</v>
      </c>
      <c r="X125" s="170">
        <f t="shared" si="28"/>
        <v>85.122716450812405</v>
      </c>
    </row>
    <row r="126" spans="18:25" x14ac:dyDescent="0.15">
      <c r="R126" s="166">
        <v>3</v>
      </c>
      <c r="S126" s="1">
        <f t="shared" si="29"/>
        <v>141.05617249033332</v>
      </c>
      <c r="T126" s="167">
        <f t="shared" si="30"/>
        <v>211.58425873549999</v>
      </c>
      <c r="U126" s="168">
        <f t="shared" si="31"/>
        <v>0.35101356812132406</v>
      </c>
      <c r="V126" s="169">
        <f t="shared" si="32"/>
        <v>11.284493799226667</v>
      </c>
      <c r="W126" s="170">
        <f t="shared" si="27"/>
        <v>74.268945617053276</v>
      </c>
      <c r="X126" s="170">
        <f t="shared" si="28"/>
        <v>85.553439416279943</v>
      </c>
    </row>
    <row r="127" spans="18:25" x14ac:dyDescent="0.15">
      <c r="R127" s="166">
        <v>4</v>
      </c>
      <c r="S127" s="1">
        <f t="shared" si="29"/>
        <v>141.05617249033332</v>
      </c>
      <c r="T127" s="167">
        <f t="shared" si="30"/>
        <v>211.58425873549999</v>
      </c>
      <c r="U127" s="168">
        <f t="shared" si="31"/>
        <v>0.35306114726869831</v>
      </c>
      <c r="V127" s="169">
        <f t="shared" si="32"/>
        <v>11.284493799226667</v>
      </c>
      <c r="W127" s="170">
        <f t="shared" si="27"/>
        <v>74.70218113315272</v>
      </c>
      <c r="X127" s="170">
        <f t="shared" si="28"/>
        <v>85.986674932379387</v>
      </c>
    </row>
    <row r="128" spans="18:25" x14ac:dyDescent="0.15">
      <c r="R128" s="166">
        <v>5</v>
      </c>
      <c r="S128" s="1">
        <f t="shared" si="29"/>
        <v>141.05617249033332</v>
      </c>
      <c r="T128" s="167">
        <f t="shared" si="30"/>
        <v>211.58425873549999</v>
      </c>
      <c r="U128" s="168">
        <f t="shared" si="31"/>
        <v>0.35512067062776559</v>
      </c>
      <c r="V128" s="169">
        <f t="shared" si="32"/>
        <v>11.284493799226667</v>
      </c>
      <c r="W128" s="170">
        <f t="shared" si="27"/>
        <v>75.13794385642943</v>
      </c>
      <c r="X128" s="170">
        <f t="shared" si="28"/>
        <v>86.422437655656097</v>
      </c>
    </row>
    <row r="129" spans="18:25" x14ac:dyDescent="0.15">
      <c r="R129" s="166">
        <v>6</v>
      </c>
      <c r="S129" s="1">
        <f t="shared" si="29"/>
        <v>141.05617249033332</v>
      </c>
      <c r="T129" s="167">
        <f t="shared" si="30"/>
        <v>211.58425873549999</v>
      </c>
      <c r="U129" s="168">
        <f t="shared" si="31"/>
        <v>0.35719220787309408</v>
      </c>
      <c r="V129" s="169">
        <f t="shared" si="32"/>
        <v>11.284493799226667</v>
      </c>
      <c r="W129" s="170">
        <f t="shared" si="27"/>
        <v>75.576248528925234</v>
      </c>
      <c r="X129" s="170">
        <f t="shared" si="28"/>
        <v>86.8607423281519</v>
      </c>
    </row>
    <row r="130" spans="18:25" x14ac:dyDescent="0.15">
      <c r="R130" s="166">
        <v>7</v>
      </c>
      <c r="S130" s="1">
        <f t="shared" si="29"/>
        <v>141.05617249033332</v>
      </c>
      <c r="T130" s="167">
        <f t="shared" si="30"/>
        <v>211.58425873549999</v>
      </c>
      <c r="U130" s="168">
        <f t="shared" si="31"/>
        <v>0.359275829085687</v>
      </c>
      <c r="V130" s="169">
        <f t="shared" si="32"/>
        <v>11.284493799226667</v>
      </c>
      <c r="W130" s="170">
        <f t="shared" si="27"/>
        <v>76.017109978677269</v>
      </c>
      <c r="X130" s="170">
        <f t="shared" si="28"/>
        <v>87.301603777903935</v>
      </c>
    </row>
    <row r="131" spans="18:25" x14ac:dyDescent="0.15">
      <c r="R131" s="166">
        <v>8</v>
      </c>
      <c r="S131" s="1">
        <f t="shared" si="29"/>
        <v>141.05617249033332</v>
      </c>
      <c r="T131" s="167">
        <f t="shared" si="30"/>
        <v>211.58425873549999</v>
      </c>
      <c r="U131" s="168">
        <f t="shared" si="31"/>
        <v>0.36137160475535335</v>
      </c>
      <c r="V131" s="169">
        <f t="shared" si="32"/>
        <v>11.284493799226667</v>
      </c>
      <c r="W131" s="170">
        <f t="shared" si="27"/>
        <v>76.460543120219526</v>
      </c>
      <c r="X131" s="170">
        <f t="shared" si="28"/>
        <v>87.745036919446193</v>
      </c>
    </row>
    <row r="132" spans="18:25" x14ac:dyDescent="0.15">
      <c r="R132" s="166">
        <v>9</v>
      </c>
      <c r="S132" s="1">
        <f t="shared" si="29"/>
        <v>141.05617249033332</v>
      </c>
      <c r="T132" s="167">
        <f t="shared" si="30"/>
        <v>211.58425873549999</v>
      </c>
      <c r="U132" s="168">
        <f t="shared" si="31"/>
        <v>0.36347960578309274</v>
      </c>
      <c r="V132" s="169">
        <f t="shared" si="32"/>
        <v>11.284493799226667</v>
      </c>
      <c r="W132" s="170">
        <f t="shared" si="27"/>
        <v>76.906562955087438</v>
      </c>
      <c r="X132" s="170">
        <f t="shared" si="28"/>
        <v>88.191056754314104</v>
      </c>
    </row>
    <row r="133" spans="18:25" x14ac:dyDescent="0.15">
      <c r="R133" s="166">
        <v>10</v>
      </c>
      <c r="S133" s="1">
        <f t="shared" si="29"/>
        <v>141.05617249033332</v>
      </c>
      <c r="T133" s="167">
        <f t="shared" si="30"/>
        <v>211.58425873549999</v>
      </c>
      <c r="U133" s="168">
        <f t="shared" si="31"/>
        <v>0.36559990348349397</v>
      </c>
      <c r="V133" s="169">
        <f t="shared" si="32"/>
        <v>11.284493799226667</v>
      </c>
      <c r="W133" s="170">
        <f t="shared" si="27"/>
        <v>77.355184572325413</v>
      </c>
      <c r="X133" s="170">
        <f t="shared" si="28"/>
        <v>88.63967837155208</v>
      </c>
    </row>
    <row r="134" spans="18:25" x14ac:dyDescent="0.15">
      <c r="R134" s="166">
        <v>11</v>
      </c>
      <c r="S134" s="1">
        <f t="shared" si="29"/>
        <v>141.05617249033332</v>
      </c>
      <c r="T134" s="167">
        <f t="shared" si="30"/>
        <v>211.58425873549999</v>
      </c>
      <c r="U134" s="168">
        <f t="shared" si="31"/>
        <v>0.36773256958714751</v>
      </c>
      <c r="V134" s="169">
        <f t="shared" si="32"/>
        <v>11.284493799226667</v>
      </c>
      <c r="W134" s="170">
        <f t="shared" si="27"/>
        <v>77.806423148997268</v>
      </c>
      <c r="X134" s="170">
        <f t="shared" si="28"/>
        <v>89.090916948223935</v>
      </c>
    </row>
    <row r="135" spans="18:25" x14ac:dyDescent="0.15">
      <c r="R135" s="166">
        <v>12</v>
      </c>
      <c r="S135" s="1">
        <f t="shared" si="29"/>
        <v>141.05617249033332</v>
      </c>
      <c r="T135" s="167">
        <f t="shared" si="30"/>
        <v>211.58425873549999</v>
      </c>
      <c r="U135" s="168">
        <f t="shared" si="31"/>
        <v>0.36987767624307238</v>
      </c>
      <c r="V135" s="169">
        <f t="shared" si="32"/>
        <v>11.284493799226667</v>
      </c>
      <c r="W135" s="170">
        <f t="shared" si="27"/>
        <v>78.260293950699719</v>
      </c>
      <c r="X135" s="170">
        <f t="shared" si="28"/>
        <v>89.544787749926385</v>
      </c>
    </row>
    <row r="136" spans="18:25" ht="16" x14ac:dyDescent="0.3">
      <c r="R136" s="198">
        <f>SUM(S136:T136)</f>
        <v>4231.685174709999</v>
      </c>
      <c r="S136" s="118">
        <f>IF($C$17&gt;=S121,SUM(S124:S135),"")</f>
        <v>1692.6740698839994</v>
      </c>
      <c r="T136" s="119">
        <f>IF($C$17&gt;=S121,SUM(T124:T135),"")</f>
        <v>2539.0111048260001</v>
      </c>
      <c r="U136" s="184">
        <f>IF(Y137="",0,AVERAGE(U124:U135))</f>
        <v>0.35830471771044242</v>
      </c>
      <c r="V136" s="120">
        <f>IF($C$17&gt;=S121,SUM(V124:V135),"")</f>
        <v>135.41392559072</v>
      </c>
      <c r="W136" s="121">
        <f>IF($C$17&gt;=S121,SUM(W124:W135),"")</f>
        <v>909.73965717835847</v>
      </c>
      <c r="X136" s="121">
        <f>IF($C$17&gt;=S121,SUM(X124:X135),"")</f>
        <v>1045.1535827690784</v>
      </c>
    </row>
    <row r="137" spans="18:25" x14ac:dyDescent="0.15">
      <c r="W137" s="156" t="s">
        <v>53</v>
      </c>
      <c r="X137" s="117">
        <f>IF(AND($D$38="Yes",$D$40+1=S121,$C$17&gt;=S121),$B$40,0)</f>
        <v>0</v>
      </c>
      <c r="Y137" s="142">
        <f>IF(X136="","",IF($D$38="No",X136,IF($D$38="Yes",X136-X137,X136)))</f>
        <v>1045.1535827690784</v>
      </c>
    </row>
    <row r="138" spans="18:25" ht="14" thickBot="1" x14ac:dyDescent="0.2"/>
    <row r="139" spans="18:25" ht="17" thickBot="1" x14ac:dyDescent="0.25">
      <c r="R139" s="126" t="s">
        <v>48</v>
      </c>
      <c r="S139" s="127">
        <v>5</v>
      </c>
      <c r="T139" s="154" t="s">
        <v>66</v>
      </c>
      <c r="U139" s="143">
        <f>U121-($C$36*U121)</f>
        <v>351.5825099321558</v>
      </c>
      <c r="V139" s="155" t="s">
        <v>68</v>
      </c>
      <c r="W139" s="185">
        <f>ROUND($C$25/12,15)</f>
        <v>5.8333333333329997E-3</v>
      </c>
      <c r="X139" s="161">
        <f>IF(X154="",0,(U139*12-(U139*12)*$C$36)/POWER(1+0,S139))</f>
        <v>4206.333148828312</v>
      </c>
    </row>
    <row r="140" spans="18:25" x14ac:dyDescent="0.15">
      <c r="U140" s="182" t="s">
        <v>76</v>
      </c>
      <c r="V140" s="166">
        <f>IF(S139&lt;=$C$31,$C$29,IF(AND(S139&gt;$C$31,$B$34="Yes"),AVERAGE(U142:U153),$D$34))</f>
        <v>0.08</v>
      </c>
    </row>
    <row r="141" spans="18:25" x14ac:dyDescent="0.15">
      <c r="R141" s="122" t="s">
        <v>70</v>
      </c>
      <c r="S141" s="124">
        <f>$C$27</f>
        <v>0.4</v>
      </c>
      <c r="T141" s="125">
        <f>100%-$S141</f>
        <v>0.6</v>
      </c>
      <c r="U141" s="112" t="s">
        <v>72</v>
      </c>
      <c r="V141" s="115" t="s">
        <v>71</v>
      </c>
      <c r="W141" s="115" t="s">
        <v>67</v>
      </c>
      <c r="X141" s="116" t="s">
        <v>69</v>
      </c>
    </row>
    <row r="142" spans="18:25" x14ac:dyDescent="0.15">
      <c r="R142" s="166">
        <v>1</v>
      </c>
      <c r="S142" s="1">
        <f>$U$139*$C$27</f>
        <v>140.63300397286233</v>
      </c>
      <c r="T142" s="167">
        <f>$U$139*(100%-$C$27)</f>
        <v>210.94950595929348</v>
      </c>
      <c r="U142" s="168">
        <f>U135*(1+$W$139)</f>
        <v>0.37203529602115681</v>
      </c>
      <c r="V142" s="169">
        <f>S142*$V$140</f>
        <v>11.250640317828987</v>
      </c>
      <c r="W142" s="170">
        <f>T142*U142</f>
        <v>78.480661895082534</v>
      </c>
      <c r="X142" s="170">
        <f>W142+V142</f>
        <v>89.731302212911515</v>
      </c>
    </row>
    <row r="143" spans="18:25" x14ac:dyDescent="0.15">
      <c r="R143" s="166">
        <v>2</v>
      </c>
      <c r="S143" s="1">
        <f t="shared" ref="S143:S153" si="33">$U$139*$C$27</f>
        <v>140.63300397286233</v>
      </c>
      <c r="T143" s="167">
        <f t="shared" ref="T143:T153" si="34">$U$139*(100%-$C$27)</f>
        <v>210.94950595929348</v>
      </c>
      <c r="U143" s="168">
        <f t="shared" ref="U143:U153" si="35">U142*(1+$W$139)</f>
        <v>0.37420550191461338</v>
      </c>
      <c r="V143" s="169">
        <f t="shared" ref="V143:V153" si="36">S143*$V$140</f>
        <v>11.250640317828987</v>
      </c>
      <c r="W143" s="170">
        <f t="shared" ref="W143:W153" si="37">T143*U143</f>
        <v>78.938465756137148</v>
      </c>
      <c r="X143" s="170">
        <f t="shared" ref="X143:X153" si="38">W143+V143</f>
        <v>90.18910607396613</v>
      </c>
    </row>
    <row r="144" spans="18:25" x14ac:dyDescent="0.15">
      <c r="R144" s="166">
        <v>3</v>
      </c>
      <c r="S144" s="1">
        <f t="shared" si="33"/>
        <v>140.63300397286233</v>
      </c>
      <c r="T144" s="167">
        <f t="shared" si="34"/>
        <v>210.94950595929348</v>
      </c>
      <c r="U144" s="168">
        <f t="shared" si="35"/>
        <v>0.37638836734244846</v>
      </c>
      <c r="V144" s="169">
        <f t="shared" si="36"/>
        <v>11.250640317828987</v>
      </c>
      <c r="W144" s="170">
        <f t="shared" si="37"/>
        <v>79.398940139714568</v>
      </c>
      <c r="X144" s="170">
        <f t="shared" si="38"/>
        <v>90.64958045754355</v>
      </c>
    </row>
    <row r="145" spans="18:25" x14ac:dyDescent="0.15">
      <c r="R145" s="166">
        <v>4</v>
      </c>
      <c r="S145" s="1">
        <f t="shared" si="33"/>
        <v>140.63300397286233</v>
      </c>
      <c r="T145" s="167">
        <f t="shared" si="34"/>
        <v>210.94950595929348</v>
      </c>
      <c r="U145" s="168">
        <f t="shared" si="35"/>
        <v>0.37858396615194589</v>
      </c>
      <c r="V145" s="169">
        <f t="shared" si="36"/>
        <v>11.250640317828987</v>
      </c>
      <c r="W145" s="170">
        <f t="shared" si="37"/>
        <v>79.862100623862872</v>
      </c>
      <c r="X145" s="170">
        <f t="shared" si="38"/>
        <v>91.112740941691854</v>
      </c>
    </row>
    <row r="146" spans="18:25" x14ac:dyDescent="0.15">
      <c r="R146" s="166">
        <v>5</v>
      </c>
      <c r="S146" s="1">
        <f t="shared" si="33"/>
        <v>140.63300397286233</v>
      </c>
      <c r="T146" s="167">
        <f t="shared" si="34"/>
        <v>210.94950595929348</v>
      </c>
      <c r="U146" s="168">
        <f t="shared" si="35"/>
        <v>0.38079237262116544</v>
      </c>
      <c r="V146" s="169">
        <f t="shared" si="36"/>
        <v>11.250640317828987</v>
      </c>
      <c r="W146" s="170">
        <f t="shared" si="37"/>
        <v>80.327962877502046</v>
      </c>
      <c r="X146" s="170">
        <f t="shared" si="38"/>
        <v>91.578603195331027</v>
      </c>
    </row>
    <row r="147" spans="18:25" x14ac:dyDescent="0.15">
      <c r="R147" s="166">
        <v>6</v>
      </c>
      <c r="S147" s="1">
        <f t="shared" si="33"/>
        <v>140.63300397286233</v>
      </c>
      <c r="T147" s="167">
        <f t="shared" si="34"/>
        <v>210.94950595929348</v>
      </c>
      <c r="U147" s="168">
        <f t="shared" si="35"/>
        <v>0.38301366146145543</v>
      </c>
      <c r="V147" s="169">
        <f t="shared" si="36"/>
        <v>11.250640317828987</v>
      </c>
      <c r="W147" s="170">
        <f t="shared" si="37"/>
        <v>80.796542660954103</v>
      </c>
      <c r="X147" s="170">
        <f t="shared" si="38"/>
        <v>92.047182978783084</v>
      </c>
    </row>
    <row r="148" spans="18:25" x14ac:dyDescent="0.15">
      <c r="R148" s="166">
        <v>7</v>
      </c>
      <c r="S148" s="1">
        <f t="shared" si="33"/>
        <v>140.63300397286233</v>
      </c>
      <c r="T148" s="167">
        <f t="shared" si="34"/>
        <v>210.94950595929348</v>
      </c>
      <c r="U148" s="168">
        <f t="shared" si="35"/>
        <v>0.38524790781998042</v>
      </c>
      <c r="V148" s="169">
        <f t="shared" si="36"/>
        <v>11.250640317828987</v>
      </c>
      <c r="W148" s="170">
        <f t="shared" si="37"/>
        <v>81.267855826476307</v>
      </c>
      <c r="X148" s="170">
        <f t="shared" si="38"/>
        <v>92.518496144305288</v>
      </c>
    </row>
    <row r="149" spans="18:25" x14ac:dyDescent="0.15">
      <c r="R149" s="166">
        <v>8</v>
      </c>
      <c r="S149" s="1">
        <f t="shared" si="33"/>
        <v>140.63300397286233</v>
      </c>
      <c r="T149" s="167">
        <f t="shared" si="34"/>
        <v>210.94950595929348</v>
      </c>
      <c r="U149" s="168">
        <f t="shared" si="35"/>
        <v>0.38749518728226345</v>
      </c>
      <c r="V149" s="169">
        <f t="shared" si="36"/>
        <v>11.250640317828987</v>
      </c>
      <c r="W149" s="170">
        <f t="shared" si="37"/>
        <v>81.741918318797374</v>
      </c>
      <c r="X149" s="170">
        <f t="shared" si="38"/>
        <v>92.992558636626356</v>
      </c>
    </row>
    <row r="150" spans="18:25" x14ac:dyDescent="0.15">
      <c r="R150" s="166">
        <v>9</v>
      </c>
      <c r="S150" s="1">
        <f t="shared" si="33"/>
        <v>140.63300397286233</v>
      </c>
      <c r="T150" s="167">
        <f t="shared" si="34"/>
        <v>210.94950595929348</v>
      </c>
      <c r="U150" s="168">
        <f t="shared" si="35"/>
        <v>0.38975557587474319</v>
      </c>
      <c r="V150" s="169">
        <f t="shared" si="36"/>
        <v>11.250640317828987</v>
      </c>
      <c r="W150" s="170">
        <f t="shared" si="37"/>
        <v>82.218746175657003</v>
      </c>
      <c r="X150" s="170">
        <f t="shared" si="38"/>
        <v>93.469386493485985</v>
      </c>
    </row>
    <row r="151" spans="18:25" x14ac:dyDescent="0.15">
      <c r="R151" s="166">
        <v>10</v>
      </c>
      <c r="S151" s="1">
        <f t="shared" si="33"/>
        <v>140.63300397286233</v>
      </c>
      <c r="T151" s="167">
        <f t="shared" si="34"/>
        <v>210.94950595929348</v>
      </c>
      <c r="U151" s="168">
        <f t="shared" si="35"/>
        <v>0.39202915006734568</v>
      </c>
      <c r="V151" s="169">
        <f t="shared" si="36"/>
        <v>11.250640317828987</v>
      </c>
      <c r="W151" s="170">
        <f t="shared" si="37"/>
        <v>82.698355528348287</v>
      </c>
      <c r="X151" s="170">
        <f t="shared" si="38"/>
        <v>93.948995846177269</v>
      </c>
    </row>
    <row r="152" spans="18:25" x14ac:dyDescent="0.15">
      <c r="R152" s="166">
        <v>11</v>
      </c>
      <c r="S152" s="1">
        <f t="shared" si="33"/>
        <v>140.63300397286233</v>
      </c>
      <c r="T152" s="167">
        <f t="shared" si="34"/>
        <v>210.94950595929348</v>
      </c>
      <c r="U152" s="168">
        <f t="shared" si="35"/>
        <v>0.39431598677607171</v>
      </c>
      <c r="V152" s="169">
        <f t="shared" si="36"/>
        <v>11.250640317828987</v>
      </c>
      <c r="W152" s="170">
        <f t="shared" si="37"/>
        <v>83.180762602263627</v>
      </c>
      <c r="X152" s="170">
        <f t="shared" si="38"/>
        <v>94.431402920092609</v>
      </c>
    </row>
    <row r="153" spans="18:25" x14ac:dyDescent="0.15">
      <c r="R153" s="166">
        <v>12</v>
      </c>
      <c r="S153" s="1">
        <f t="shared" si="33"/>
        <v>140.63300397286233</v>
      </c>
      <c r="T153" s="167">
        <f t="shared" si="34"/>
        <v>210.94950595929348</v>
      </c>
      <c r="U153" s="168">
        <f t="shared" si="35"/>
        <v>0.39661616336559863</v>
      </c>
      <c r="V153" s="169">
        <f t="shared" si="36"/>
        <v>11.250640317828987</v>
      </c>
      <c r="W153" s="170">
        <f t="shared" si="37"/>
        <v>83.665983717443467</v>
      </c>
      <c r="X153" s="170">
        <f t="shared" si="38"/>
        <v>94.916624035272449</v>
      </c>
    </row>
    <row r="154" spans="18:25" ht="16" x14ac:dyDescent="0.3">
      <c r="R154" s="198">
        <f>SUM(S154:T154)</f>
        <v>4218.9901191858698</v>
      </c>
      <c r="S154" s="118">
        <f>IF($C$17&gt;=S139,SUM(S142:S153),"")</f>
        <v>1687.5960476743478</v>
      </c>
      <c r="T154" s="119">
        <f>IF($C$17&gt;=S139,SUM(T142:T153),"")</f>
        <v>2531.3940715115223</v>
      </c>
      <c r="U154" s="184">
        <f>IF(Y155="",0,AVERAGE(U142:U153))</f>
        <v>0.38420659472489899</v>
      </c>
      <c r="V154" s="120">
        <f>IF($C$17&gt;=S139,SUM(V142:V153),"")</f>
        <v>135.00768381394781</v>
      </c>
      <c r="W154" s="121">
        <f>IF($C$17&gt;=S139,SUM(W142:W153),"")</f>
        <v>972.57829612223941</v>
      </c>
      <c r="X154" s="121">
        <f>IF($C$17&gt;=S139,SUM(X142:X153),"")</f>
        <v>1107.5859799361872</v>
      </c>
    </row>
    <row r="155" spans="18:25" x14ac:dyDescent="0.15">
      <c r="W155" s="156" t="s">
        <v>53</v>
      </c>
      <c r="X155" s="117">
        <f>IF(AND($D$38="Yes",$D$40+1=S139,$C$17&gt;=S139),$B$40,0)</f>
        <v>0</v>
      </c>
      <c r="Y155" s="142">
        <f>IF(X154="","",IF($D$38="No",X154,IF($D$38="Yes",X154-X155,X154)))</f>
        <v>1107.5859799361872</v>
      </c>
    </row>
    <row r="156" spans="18:25" ht="14" thickBot="1" x14ac:dyDescent="0.2"/>
    <row r="157" spans="18:25" ht="17" thickBot="1" x14ac:dyDescent="0.25">
      <c r="R157" s="126" t="s">
        <v>48</v>
      </c>
      <c r="S157" s="127">
        <v>6</v>
      </c>
      <c r="T157" s="154" t="s">
        <v>66</v>
      </c>
      <c r="U157" s="143">
        <f>U139-($C$36*U139)</f>
        <v>350.52776240235931</v>
      </c>
      <c r="V157" s="155" t="s">
        <v>68</v>
      </c>
      <c r="W157" s="185">
        <f>ROUND($C$25/12,15)</f>
        <v>5.8333333333329997E-3</v>
      </c>
      <c r="X157" s="161">
        <f>IF(X172="",0,(U157*12-(U157*12)*$C$36)/POWER(1+0,S157))</f>
        <v>4193.7141493818272</v>
      </c>
    </row>
    <row r="158" spans="18:25" x14ac:dyDescent="0.15">
      <c r="U158" s="182" t="s">
        <v>76</v>
      </c>
      <c r="V158" s="166">
        <f>IF(S157&lt;=$C$31,$C$29,IF(AND(S157&gt;$C$31,$B$34="Yes"),AVERAGE(U160:U171),$D$34))</f>
        <v>0.08</v>
      </c>
    </row>
    <row r="159" spans="18:25" x14ac:dyDescent="0.15">
      <c r="R159" s="122" t="s">
        <v>70</v>
      </c>
      <c r="S159" s="124">
        <f>$C$27</f>
        <v>0.4</v>
      </c>
      <c r="T159" s="125">
        <f>100%-$S159</f>
        <v>0.6</v>
      </c>
      <c r="U159" s="112" t="s">
        <v>72</v>
      </c>
      <c r="V159" s="115" t="s">
        <v>71</v>
      </c>
      <c r="W159" s="115" t="s">
        <v>67</v>
      </c>
      <c r="X159" s="116" t="s">
        <v>69</v>
      </c>
    </row>
    <row r="160" spans="18:25" x14ac:dyDescent="0.15">
      <c r="R160" s="166">
        <v>1</v>
      </c>
      <c r="S160" s="1">
        <f>$U$157*$C$27</f>
        <v>140.21110496094374</v>
      </c>
      <c r="T160" s="167">
        <f>$U$157*(100%-$C$27)</f>
        <v>210.31665744141557</v>
      </c>
      <c r="U160" s="168">
        <f>U153*(1+$W$157)</f>
        <v>0.39892975765189781</v>
      </c>
      <c r="V160" s="169">
        <f>S160*$V$158</f>
        <v>11.2168883968755</v>
      </c>
      <c r="W160" s="170">
        <f>T160*U160</f>
        <v>83.901573183261121</v>
      </c>
      <c r="X160" s="170">
        <f>W160+V160</f>
        <v>95.118461580136625</v>
      </c>
    </row>
    <row r="161" spans="18:25" x14ac:dyDescent="0.15">
      <c r="R161" s="166">
        <v>2</v>
      </c>
      <c r="S161" s="1">
        <f t="shared" ref="S161:S171" si="39">$U$157*$C$27</f>
        <v>140.21110496094374</v>
      </c>
      <c r="T161" s="167">
        <f t="shared" ref="T161:T171" si="40">$U$157*(100%-$C$27)</f>
        <v>210.31665744141557</v>
      </c>
      <c r="U161" s="168">
        <f t="shared" ref="U161:U171" si="41">U160*(1+$W$157)</f>
        <v>0.40125684790486704</v>
      </c>
      <c r="V161" s="169">
        <f t="shared" ref="V161:V171" si="42">S161*$V$158</f>
        <v>11.2168883968755</v>
      </c>
      <c r="W161" s="170">
        <f t="shared" ref="W161:W171" si="43">T161*U161</f>
        <v>84.390999026830116</v>
      </c>
      <c r="X161" s="170">
        <f t="shared" ref="X161:X171" si="44">W161+V161</f>
        <v>95.60788742370562</v>
      </c>
    </row>
    <row r="162" spans="18:25" x14ac:dyDescent="0.15">
      <c r="R162" s="166">
        <v>3</v>
      </c>
      <c r="S162" s="1">
        <f t="shared" si="39"/>
        <v>140.21110496094374</v>
      </c>
      <c r="T162" s="167">
        <f t="shared" si="40"/>
        <v>210.31665744141557</v>
      </c>
      <c r="U162" s="168">
        <f t="shared" si="41"/>
        <v>0.40359751285097861</v>
      </c>
      <c r="V162" s="169">
        <f t="shared" si="42"/>
        <v>11.2168883968755</v>
      </c>
      <c r="W162" s="170">
        <f t="shared" si="43"/>
        <v>84.883279854486588</v>
      </c>
      <c r="X162" s="170">
        <f t="shared" si="44"/>
        <v>96.100168251362092</v>
      </c>
    </row>
    <row r="163" spans="18:25" x14ac:dyDescent="0.15">
      <c r="R163" s="166">
        <v>4</v>
      </c>
      <c r="S163" s="1">
        <f t="shared" si="39"/>
        <v>140.21110496094374</v>
      </c>
      <c r="T163" s="167">
        <f t="shared" si="40"/>
        <v>210.31665744141557</v>
      </c>
      <c r="U163" s="168">
        <f t="shared" si="41"/>
        <v>0.40595183167594251</v>
      </c>
      <c r="V163" s="169">
        <f t="shared" si="42"/>
        <v>11.2168883968755</v>
      </c>
      <c r="W163" s="170">
        <f t="shared" si="43"/>
        <v>85.378432320304398</v>
      </c>
      <c r="X163" s="170">
        <f t="shared" si="44"/>
        <v>96.595320717179902</v>
      </c>
    </row>
    <row r="164" spans="18:25" x14ac:dyDescent="0.15">
      <c r="R164" s="166">
        <v>5</v>
      </c>
      <c r="S164" s="1">
        <f t="shared" si="39"/>
        <v>140.21110496094374</v>
      </c>
      <c r="T164" s="167">
        <f t="shared" si="40"/>
        <v>210.31665744141557</v>
      </c>
      <c r="U164" s="168">
        <f t="shared" si="41"/>
        <v>0.40831988402738534</v>
      </c>
      <c r="V164" s="169">
        <f t="shared" si="42"/>
        <v>11.2168883968755</v>
      </c>
      <c r="W164" s="170">
        <f t="shared" si="43"/>
        <v>85.876473175506135</v>
      </c>
      <c r="X164" s="170">
        <f t="shared" si="44"/>
        <v>97.093361572381639</v>
      </c>
    </row>
    <row r="165" spans="18:25" x14ac:dyDescent="0.15">
      <c r="R165" s="166">
        <v>6</v>
      </c>
      <c r="S165" s="1">
        <f t="shared" si="39"/>
        <v>140.21110496094374</v>
      </c>
      <c r="T165" s="167">
        <f t="shared" si="40"/>
        <v>210.31665744141557</v>
      </c>
      <c r="U165" s="168">
        <f t="shared" si="41"/>
        <v>0.41070175001754489</v>
      </c>
      <c r="V165" s="169">
        <f t="shared" si="42"/>
        <v>11.2168883968755</v>
      </c>
      <c r="W165" s="170">
        <f t="shared" si="43"/>
        <v>86.377419269029886</v>
      </c>
      <c r="X165" s="170">
        <f t="shared" si="44"/>
        <v>97.59430766590539</v>
      </c>
    </row>
    <row r="166" spans="18:25" x14ac:dyDescent="0.15">
      <c r="R166" s="166">
        <v>7</v>
      </c>
      <c r="S166" s="1">
        <f t="shared" si="39"/>
        <v>140.21110496094374</v>
      </c>
      <c r="T166" s="167">
        <f t="shared" si="40"/>
        <v>210.31665744141557</v>
      </c>
      <c r="U166" s="168">
        <f t="shared" si="41"/>
        <v>0.4130975102259804</v>
      </c>
      <c r="V166" s="169">
        <f t="shared" si="42"/>
        <v>11.2168883968755</v>
      </c>
      <c r="W166" s="170">
        <f t="shared" si="43"/>
        <v>86.881287548099181</v>
      </c>
      <c r="X166" s="170">
        <f t="shared" si="44"/>
        <v>98.098175944974685</v>
      </c>
    </row>
    <row r="167" spans="18:25" x14ac:dyDescent="0.15">
      <c r="R167" s="166">
        <v>8</v>
      </c>
      <c r="S167" s="1">
        <f t="shared" si="39"/>
        <v>140.21110496094374</v>
      </c>
      <c r="T167" s="167">
        <f t="shared" si="40"/>
        <v>210.31665744141557</v>
      </c>
      <c r="U167" s="168">
        <f t="shared" si="41"/>
        <v>0.41550724570229847</v>
      </c>
      <c r="V167" s="169">
        <f t="shared" si="42"/>
        <v>11.2168883968755</v>
      </c>
      <c r="W167" s="170">
        <f t="shared" si="43"/>
        <v>87.388095058796395</v>
      </c>
      <c r="X167" s="170">
        <f t="shared" si="44"/>
        <v>98.604983455671899</v>
      </c>
    </row>
    <row r="168" spans="18:25" x14ac:dyDescent="0.15">
      <c r="R168" s="166">
        <v>9</v>
      </c>
      <c r="S168" s="1">
        <f t="shared" si="39"/>
        <v>140.21110496094374</v>
      </c>
      <c r="T168" s="167">
        <f t="shared" si="40"/>
        <v>210.31665744141557</v>
      </c>
      <c r="U168" s="168">
        <f t="shared" si="41"/>
        <v>0.41793103796889502</v>
      </c>
      <c r="V168" s="169">
        <f t="shared" si="42"/>
        <v>11.2168883968755</v>
      </c>
      <c r="W168" s="170">
        <f t="shared" si="43"/>
        <v>87.897858946639346</v>
      </c>
      <c r="X168" s="170">
        <f t="shared" si="44"/>
        <v>99.11474734351485</v>
      </c>
    </row>
    <row r="169" spans="18:25" x14ac:dyDescent="0.15">
      <c r="R169" s="166">
        <v>10</v>
      </c>
      <c r="S169" s="1">
        <f t="shared" si="39"/>
        <v>140.21110496094374</v>
      </c>
      <c r="T169" s="167">
        <f t="shared" si="40"/>
        <v>210.31665744141557</v>
      </c>
      <c r="U169" s="168">
        <f t="shared" si="41"/>
        <v>0.4203689690237134</v>
      </c>
      <c r="V169" s="169">
        <f t="shared" si="42"/>
        <v>11.2168883968755</v>
      </c>
      <c r="W169" s="170">
        <f t="shared" si="43"/>
        <v>88.410596457161361</v>
      </c>
      <c r="X169" s="170">
        <f t="shared" si="44"/>
        <v>99.627484854036865</v>
      </c>
    </row>
    <row r="170" spans="18:25" x14ac:dyDescent="0.15">
      <c r="R170" s="166">
        <v>11</v>
      </c>
      <c r="S170" s="1">
        <f t="shared" si="39"/>
        <v>140.21110496094374</v>
      </c>
      <c r="T170" s="167">
        <f t="shared" si="40"/>
        <v>210.31665744141557</v>
      </c>
      <c r="U170" s="168">
        <f t="shared" si="41"/>
        <v>0.42282112134301825</v>
      </c>
      <c r="V170" s="169">
        <f t="shared" si="42"/>
        <v>11.2168883968755</v>
      </c>
      <c r="W170" s="170">
        <f t="shared" si="43"/>
        <v>88.92632493649478</v>
      </c>
      <c r="X170" s="170">
        <f t="shared" si="44"/>
        <v>100.14321333337028</v>
      </c>
    </row>
    <row r="171" spans="18:25" x14ac:dyDescent="0.15">
      <c r="R171" s="166">
        <v>12</v>
      </c>
      <c r="S171" s="1">
        <f t="shared" si="39"/>
        <v>140.21110496094374</v>
      </c>
      <c r="T171" s="167">
        <f t="shared" si="40"/>
        <v>210.31665744141557</v>
      </c>
      <c r="U171" s="168">
        <f t="shared" si="41"/>
        <v>0.4252875778841857</v>
      </c>
      <c r="V171" s="169">
        <f t="shared" si="42"/>
        <v>11.2168883968755</v>
      </c>
      <c r="W171" s="170">
        <f t="shared" si="43"/>
        <v>89.445061831957631</v>
      </c>
      <c r="X171" s="170">
        <f t="shared" si="44"/>
        <v>100.66195022883313</v>
      </c>
    </row>
    <row r="172" spans="18:25" ht="16" x14ac:dyDescent="0.3">
      <c r="R172" s="198">
        <f>SUM(S172:T172)</f>
        <v>4206.3331488283111</v>
      </c>
      <c r="S172" s="118">
        <f>IF($C$17&gt;=S157,SUM(S160:S171),"")</f>
        <v>1682.5332595313246</v>
      </c>
      <c r="T172" s="119">
        <f>IF($C$17&gt;=S157,SUM(T160:T171),"")</f>
        <v>2523.7998892969863</v>
      </c>
      <c r="U172" s="184">
        <f>IF(Y173="",0,AVERAGE(U160:U171))</f>
        <v>0.41198092052305896</v>
      </c>
      <c r="V172" s="120">
        <f>IF($C$17&gt;=S157,SUM(V160:V171),"")</f>
        <v>134.60266076250602</v>
      </c>
      <c r="W172" s="121">
        <f>IF($C$17&gt;=S157,SUM(W160:W171),"")</f>
        <v>1039.7574016085669</v>
      </c>
      <c r="X172" s="121">
        <f>IF($C$17&gt;=S157,SUM(X160:X171),"")</f>
        <v>1174.3600623710731</v>
      </c>
    </row>
    <row r="173" spans="18:25" x14ac:dyDescent="0.15">
      <c r="W173" s="156" t="s">
        <v>53</v>
      </c>
      <c r="X173" s="117">
        <f>IF(AND($D$38="Yes",$D$40+1=S157,$C$17&gt;=S157),$B$40,0)</f>
        <v>0</v>
      </c>
      <c r="Y173" s="142">
        <f>IF(X172="","",IF($D$38="No",X172,IF($D$38="Yes",X172-X173,X172)))</f>
        <v>1174.3600623710731</v>
      </c>
    </row>
    <row r="174" spans="18:25" ht="14" thickBot="1" x14ac:dyDescent="0.2"/>
    <row r="175" spans="18:25" ht="17" thickBot="1" x14ac:dyDescent="0.25">
      <c r="R175" s="126" t="s">
        <v>48</v>
      </c>
      <c r="S175" s="127">
        <v>7</v>
      </c>
      <c r="T175" s="154" t="s">
        <v>66</v>
      </c>
      <c r="U175" s="143">
        <f>U157-($C$36*U157)</f>
        <v>349.47617911515226</v>
      </c>
      <c r="V175" s="155" t="s">
        <v>68</v>
      </c>
      <c r="W175" s="185">
        <f>ROUND($C$25/12,15)</f>
        <v>5.8333333333329997E-3</v>
      </c>
      <c r="X175" s="161">
        <f>IF(X190="",0,(U175*12-(U175*12)*$C$36)/POWER(1+0,S175))</f>
        <v>4181.1330069336818</v>
      </c>
    </row>
    <row r="176" spans="18:25" x14ac:dyDescent="0.15">
      <c r="U176" s="182" t="s">
        <v>76</v>
      </c>
      <c r="V176" s="166">
        <f>IF(S175&lt;=$C$31,$C$29,IF(AND(S175&gt;$C$31,$B$34="Yes"),AVERAGE(U178:U189),$D$34))</f>
        <v>0.08</v>
      </c>
    </row>
    <row r="177" spans="18:25" x14ac:dyDescent="0.15">
      <c r="R177" s="122" t="s">
        <v>70</v>
      </c>
      <c r="S177" s="124">
        <f>$C$27</f>
        <v>0.4</v>
      </c>
      <c r="T177" s="125">
        <f>100%-$S177</f>
        <v>0.6</v>
      </c>
      <c r="U177" s="112" t="s">
        <v>72</v>
      </c>
      <c r="V177" s="115" t="s">
        <v>71</v>
      </c>
      <c r="W177" s="115" t="s">
        <v>67</v>
      </c>
      <c r="X177" s="116" t="s">
        <v>69</v>
      </c>
    </row>
    <row r="178" spans="18:25" x14ac:dyDescent="0.15">
      <c r="R178" s="166">
        <v>1</v>
      </c>
      <c r="S178" s="1">
        <f>$U$175*$C$27</f>
        <v>139.79047164606092</v>
      </c>
      <c r="T178" s="167">
        <f>$U$175*(100%-$C$27)</f>
        <v>209.68570746909134</v>
      </c>
      <c r="U178" s="168">
        <f>U171*(1+$W$175)</f>
        <v>0.42776842208850996</v>
      </c>
      <c r="V178" s="169">
        <f>S178*$V$176</f>
        <v>11.183237731684875</v>
      </c>
      <c r="W178" s="170">
        <f>T178*U178</f>
        <v>89.696924218566096</v>
      </c>
      <c r="X178" s="170">
        <f>W178+V178</f>
        <v>100.88016195025097</v>
      </c>
    </row>
    <row r="179" spans="18:25" x14ac:dyDescent="0.15">
      <c r="R179" s="166">
        <v>2</v>
      </c>
      <c r="S179" s="1">
        <f t="shared" ref="S179:S189" si="45">$U$175*$C$27</f>
        <v>139.79047164606092</v>
      </c>
      <c r="T179" s="167">
        <f t="shared" ref="T179:T189" si="46">$U$175*(100%-$C$27)</f>
        <v>209.68570746909134</v>
      </c>
      <c r="U179" s="168">
        <f t="shared" ref="U179:U189" si="47">U178*(1+$W$175)</f>
        <v>0.43026373788402611</v>
      </c>
      <c r="V179" s="169">
        <f t="shared" ref="V179:V189" si="48">S179*$V$176</f>
        <v>11.183237731684875</v>
      </c>
      <c r="W179" s="170">
        <f t="shared" ref="W179:W189" si="49">T179*U179</f>
        <v>90.220156276507694</v>
      </c>
      <c r="X179" s="170">
        <f t="shared" ref="X179:X189" si="50">W179+V179</f>
        <v>101.40339400819256</v>
      </c>
    </row>
    <row r="180" spans="18:25" x14ac:dyDescent="0.15">
      <c r="R180" s="166">
        <v>3</v>
      </c>
      <c r="S180" s="1">
        <f t="shared" si="45"/>
        <v>139.79047164606092</v>
      </c>
      <c r="T180" s="167">
        <f t="shared" si="46"/>
        <v>209.68570746909134</v>
      </c>
      <c r="U180" s="168">
        <f t="shared" si="47"/>
        <v>0.43277360968834944</v>
      </c>
      <c r="V180" s="169">
        <f t="shared" si="48"/>
        <v>11.183237731684875</v>
      </c>
      <c r="W180" s="170">
        <f t="shared" si="49"/>
        <v>90.746440521453948</v>
      </c>
      <c r="X180" s="170">
        <f t="shared" si="50"/>
        <v>101.92967825313882</v>
      </c>
    </row>
    <row r="181" spans="18:25" x14ac:dyDescent="0.15">
      <c r="R181" s="166">
        <v>4</v>
      </c>
      <c r="S181" s="1">
        <f t="shared" si="45"/>
        <v>139.79047164606092</v>
      </c>
      <c r="T181" s="167">
        <f t="shared" si="46"/>
        <v>209.68570746909134</v>
      </c>
      <c r="U181" s="168">
        <f t="shared" si="47"/>
        <v>0.43529812241153132</v>
      </c>
      <c r="V181" s="169">
        <f t="shared" si="48"/>
        <v>11.183237731684875</v>
      </c>
      <c r="W181" s="170">
        <f t="shared" si="49"/>
        <v>91.275794757829075</v>
      </c>
      <c r="X181" s="170">
        <f t="shared" si="50"/>
        <v>102.45903248951394</v>
      </c>
    </row>
    <row r="182" spans="18:25" x14ac:dyDescent="0.15">
      <c r="R182" s="166">
        <v>5</v>
      </c>
      <c r="S182" s="1">
        <f t="shared" si="45"/>
        <v>139.79047164606092</v>
      </c>
      <c r="T182" s="167">
        <f t="shared" si="46"/>
        <v>209.68570746909134</v>
      </c>
      <c r="U182" s="168">
        <f t="shared" si="47"/>
        <v>0.43783736145893176</v>
      </c>
      <c r="V182" s="169">
        <f t="shared" si="48"/>
        <v>11.183237731684875</v>
      </c>
      <c r="W182" s="170">
        <f t="shared" si="49"/>
        <v>91.808236893916373</v>
      </c>
      <c r="X182" s="170">
        <f t="shared" si="50"/>
        <v>102.99147462560124</v>
      </c>
    </row>
    <row r="183" spans="18:25" x14ac:dyDescent="0.15">
      <c r="R183" s="166">
        <v>6</v>
      </c>
      <c r="S183" s="1">
        <f t="shared" si="45"/>
        <v>139.79047164606092</v>
      </c>
      <c r="T183" s="167">
        <f t="shared" si="46"/>
        <v>209.68570746909134</v>
      </c>
      <c r="U183" s="168">
        <f t="shared" si="47"/>
        <v>0.4403914127341087</v>
      </c>
      <c r="V183" s="169">
        <f t="shared" si="48"/>
        <v>11.183237731684875</v>
      </c>
      <c r="W183" s="170">
        <f t="shared" si="49"/>
        <v>92.343784942464183</v>
      </c>
      <c r="X183" s="170">
        <f t="shared" si="50"/>
        <v>103.52702267414905</v>
      </c>
    </row>
    <row r="184" spans="18:25" x14ac:dyDescent="0.15">
      <c r="R184" s="166">
        <v>7</v>
      </c>
      <c r="S184" s="1">
        <f t="shared" si="45"/>
        <v>139.79047164606092</v>
      </c>
      <c r="T184" s="167">
        <f t="shared" si="46"/>
        <v>209.68570746909134</v>
      </c>
      <c r="U184" s="168">
        <f t="shared" si="47"/>
        <v>0.44296036264172417</v>
      </c>
      <c r="V184" s="169">
        <f t="shared" si="48"/>
        <v>11.183237731684875</v>
      </c>
      <c r="W184" s="170">
        <f t="shared" si="49"/>
        <v>92.882457021295195</v>
      </c>
      <c r="X184" s="170">
        <f t="shared" si="50"/>
        <v>104.06569475298006</v>
      </c>
    </row>
    <row r="185" spans="18:25" x14ac:dyDescent="0.15">
      <c r="R185" s="166">
        <v>8</v>
      </c>
      <c r="S185" s="1">
        <f t="shared" si="45"/>
        <v>139.79047164606092</v>
      </c>
      <c r="T185" s="167">
        <f t="shared" si="46"/>
        <v>209.68570746909134</v>
      </c>
      <c r="U185" s="168">
        <f t="shared" si="47"/>
        <v>0.44554429809046736</v>
      </c>
      <c r="V185" s="169">
        <f t="shared" si="48"/>
        <v>11.183237731684875</v>
      </c>
      <c r="W185" s="170">
        <f t="shared" si="49"/>
        <v>93.424271353919366</v>
      </c>
      <c r="X185" s="170">
        <f t="shared" si="50"/>
        <v>104.60750908560424</v>
      </c>
    </row>
    <row r="186" spans="18:25" x14ac:dyDescent="0.15">
      <c r="R186" s="166">
        <v>9</v>
      </c>
      <c r="S186" s="1">
        <f t="shared" si="45"/>
        <v>139.79047164606092</v>
      </c>
      <c r="T186" s="167">
        <f t="shared" si="46"/>
        <v>209.68570746909134</v>
      </c>
      <c r="U186" s="168">
        <f t="shared" si="47"/>
        <v>0.44814330649599488</v>
      </c>
      <c r="V186" s="169">
        <f t="shared" si="48"/>
        <v>11.183237731684875</v>
      </c>
      <c r="W186" s="170">
        <f t="shared" si="49"/>
        <v>93.969246270150521</v>
      </c>
      <c r="X186" s="170">
        <f t="shared" si="50"/>
        <v>105.15248400183539</v>
      </c>
    </row>
    <row r="187" spans="18:25" x14ac:dyDescent="0.15">
      <c r="R187" s="166">
        <v>10</v>
      </c>
      <c r="S187" s="1">
        <f t="shared" si="45"/>
        <v>139.79047164606092</v>
      </c>
      <c r="T187" s="167">
        <f t="shared" si="46"/>
        <v>209.68570746909134</v>
      </c>
      <c r="U187" s="168">
        <f t="shared" si="47"/>
        <v>0.45075747578388797</v>
      </c>
      <c r="V187" s="169">
        <f t="shared" si="48"/>
        <v>11.183237731684875</v>
      </c>
      <c r="W187" s="170">
        <f t="shared" si="49"/>
        <v>94.517400206726364</v>
      </c>
      <c r="X187" s="170">
        <f t="shared" si="50"/>
        <v>105.70063793841123</v>
      </c>
    </row>
    <row r="188" spans="18:25" x14ac:dyDescent="0.15">
      <c r="R188" s="166">
        <v>11</v>
      </c>
      <c r="S188" s="1">
        <f t="shared" si="45"/>
        <v>139.79047164606092</v>
      </c>
      <c r="T188" s="167">
        <f t="shared" si="46"/>
        <v>209.68570746909134</v>
      </c>
      <c r="U188" s="168">
        <f t="shared" si="47"/>
        <v>0.45338689439262714</v>
      </c>
      <c r="V188" s="169">
        <f t="shared" si="48"/>
        <v>11.183237731684875</v>
      </c>
      <c r="W188" s="170">
        <f t="shared" si="49"/>
        <v>95.068751707932222</v>
      </c>
      <c r="X188" s="170">
        <f t="shared" si="50"/>
        <v>106.25198943961709</v>
      </c>
    </row>
    <row r="189" spans="18:25" x14ac:dyDescent="0.15">
      <c r="R189" s="166">
        <v>12</v>
      </c>
      <c r="S189" s="1">
        <f t="shared" si="45"/>
        <v>139.79047164606092</v>
      </c>
      <c r="T189" s="167">
        <f t="shared" si="46"/>
        <v>209.68570746909134</v>
      </c>
      <c r="U189" s="168">
        <f t="shared" si="47"/>
        <v>0.45603165127658396</v>
      </c>
      <c r="V189" s="169">
        <f t="shared" si="48"/>
        <v>11.183237731684875</v>
      </c>
      <c r="W189" s="170">
        <f t="shared" si="49"/>
        <v>95.623319426228463</v>
      </c>
      <c r="X189" s="170">
        <f t="shared" si="50"/>
        <v>106.80655715791333</v>
      </c>
    </row>
    <row r="190" spans="18:25" ht="16" x14ac:dyDescent="0.3">
      <c r="R190" s="198">
        <f>SUM(S190:T190)</f>
        <v>4193.7141493818281</v>
      </c>
      <c r="S190" s="118">
        <f>IF($C$17&gt;=S175,SUM(S178:S189),"")</f>
        <v>1677.4856597527312</v>
      </c>
      <c r="T190" s="119">
        <f>IF($C$17&gt;=S175,SUM(T178:T189),"")</f>
        <v>2516.2284896290967</v>
      </c>
      <c r="U190" s="184">
        <f>IF(Y191="",0,AVERAGE(U178:U189))</f>
        <v>0.44176305457889525</v>
      </c>
      <c r="V190" s="120">
        <f>IF($C$17&gt;=S175,SUM(V178:V189),"")</f>
        <v>134.19885278021846</v>
      </c>
      <c r="W190" s="121">
        <f>IF($C$17&gt;=S175,SUM(W178:W189),"")</f>
        <v>1111.5767835969893</v>
      </c>
      <c r="X190" s="121">
        <f>IF($C$17&gt;=S175,SUM(X178:X189),"")</f>
        <v>1245.775636377208</v>
      </c>
    </row>
    <row r="191" spans="18:25" x14ac:dyDescent="0.15">
      <c r="W191" s="156" t="s">
        <v>53</v>
      </c>
      <c r="X191" s="117">
        <f>IF(AND($D$38="Yes",$D$40+1=S175,$C$17&gt;=S175),$B$40,0)</f>
        <v>0</v>
      </c>
      <c r="Y191" s="142">
        <f>IF(X190="","",IF($D$38="No",X190,IF($D$38="Yes",X190-X191,X190)))</f>
        <v>1245.775636377208</v>
      </c>
    </row>
    <row r="192" spans="18:25" ht="14" thickBot="1" x14ac:dyDescent="0.2"/>
    <row r="193" spans="18:24" ht="17" thickBot="1" x14ac:dyDescent="0.25">
      <c r="R193" s="126" t="s">
        <v>48</v>
      </c>
      <c r="S193" s="127">
        <v>8</v>
      </c>
      <c r="T193" s="154" t="s">
        <v>66</v>
      </c>
      <c r="U193" s="143">
        <f>U175-($C$36*U175)</f>
        <v>348.42775057780682</v>
      </c>
      <c r="V193" s="155" t="s">
        <v>68</v>
      </c>
      <c r="W193" s="185">
        <f>ROUND($C$25/12,15)</f>
        <v>5.8333333333329997E-3</v>
      </c>
      <c r="X193" s="161">
        <f>IF(X208="",0,(U193*12-(U193*12)*$C$36)/POWER(1+0,S193))</f>
        <v>4168.5896079128806</v>
      </c>
    </row>
    <row r="194" spans="18:24" x14ac:dyDescent="0.15">
      <c r="U194" s="182" t="s">
        <v>76</v>
      </c>
      <c r="V194" s="166">
        <f>IF(S193&lt;=$C$31,$C$29,IF(AND(S193&gt;$C$31,$B$34="Yes"),AVERAGE(U196:U207),$D$34))</f>
        <v>0.08</v>
      </c>
    </row>
    <row r="195" spans="18:24" x14ac:dyDescent="0.15">
      <c r="R195" s="122" t="s">
        <v>70</v>
      </c>
      <c r="S195" s="124">
        <f>$C$27</f>
        <v>0.4</v>
      </c>
      <c r="T195" s="125">
        <f>100%-$S195</f>
        <v>0.6</v>
      </c>
      <c r="U195" s="112" t="s">
        <v>72</v>
      </c>
      <c r="V195" s="115" t="s">
        <v>71</v>
      </c>
      <c r="W195" s="115" t="s">
        <v>67</v>
      </c>
      <c r="X195" s="116" t="s">
        <v>69</v>
      </c>
    </row>
    <row r="196" spans="18:24" x14ac:dyDescent="0.15">
      <c r="R196" s="166">
        <v>1</v>
      </c>
      <c r="S196" s="1">
        <f>$U$193*$C$27</f>
        <v>139.37110023112274</v>
      </c>
      <c r="T196" s="167">
        <f>$U$193*(100%-$C$27)</f>
        <v>209.05665034668408</v>
      </c>
      <c r="U196" s="168">
        <f>U189*(1+$W$193)</f>
        <v>0.45869183590903051</v>
      </c>
      <c r="V196" s="169">
        <f>S196*$V$194</f>
        <v>11.149688018489819</v>
      </c>
      <c r="W196" s="170">
        <f>T196*U196</f>
        <v>95.892578756512776</v>
      </c>
      <c r="X196" s="170">
        <f>W196+V196</f>
        <v>107.04226677500259</v>
      </c>
    </row>
    <row r="197" spans="18:24" x14ac:dyDescent="0.15">
      <c r="R197" s="166">
        <v>2</v>
      </c>
      <c r="S197" s="1">
        <f t="shared" ref="S197:S207" si="51">$U$193*$C$27</f>
        <v>139.37110023112274</v>
      </c>
      <c r="T197" s="167">
        <f t="shared" ref="T197:T207" si="52">$U$193*(100%-$C$27)</f>
        <v>209.05665034668408</v>
      </c>
      <c r="U197" s="168">
        <f t="shared" ref="U197:U207" si="53">U196*(1+$W$193)</f>
        <v>0.4613675382851663</v>
      </c>
      <c r="V197" s="169">
        <f t="shared" ref="V197:V207" si="54">S197*$V$194</f>
        <v>11.149688018489819</v>
      </c>
      <c r="W197" s="170">
        <f t="shared" ref="W197:W207" si="55">T197*U197</f>
        <v>96.451952132592396</v>
      </c>
      <c r="X197" s="170">
        <f t="shared" ref="X197:X207" si="56">W197+V197</f>
        <v>107.60164015108222</v>
      </c>
    </row>
    <row r="198" spans="18:24" x14ac:dyDescent="0.15">
      <c r="R198" s="166">
        <v>3</v>
      </c>
      <c r="S198" s="1">
        <f t="shared" si="51"/>
        <v>139.37110023112274</v>
      </c>
      <c r="T198" s="167">
        <f t="shared" si="52"/>
        <v>209.05665034668408</v>
      </c>
      <c r="U198" s="168">
        <f t="shared" si="53"/>
        <v>0.46405884892516291</v>
      </c>
      <c r="V198" s="169">
        <f t="shared" si="54"/>
        <v>11.149688018489819</v>
      </c>
      <c r="W198" s="170">
        <f t="shared" si="55"/>
        <v>97.014588520032476</v>
      </c>
      <c r="X198" s="170">
        <f t="shared" si="56"/>
        <v>108.1642765385223</v>
      </c>
    </row>
    <row r="199" spans="18:24" x14ac:dyDescent="0.15">
      <c r="R199" s="166">
        <v>4</v>
      </c>
      <c r="S199" s="1">
        <f t="shared" si="51"/>
        <v>139.37110023112274</v>
      </c>
      <c r="T199" s="167">
        <f t="shared" si="52"/>
        <v>209.05665034668408</v>
      </c>
      <c r="U199" s="168">
        <f t="shared" si="53"/>
        <v>0.46676585887722616</v>
      </c>
      <c r="V199" s="169">
        <f t="shared" si="54"/>
        <v>11.149688018489819</v>
      </c>
      <c r="W199" s="170">
        <f t="shared" si="55"/>
        <v>97.580506953065949</v>
      </c>
      <c r="X199" s="170">
        <f t="shared" si="56"/>
        <v>108.73019497155576</v>
      </c>
    </row>
    <row r="200" spans="18:24" x14ac:dyDescent="0.15">
      <c r="R200" s="166">
        <v>5</v>
      </c>
      <c r="S200" s="1">
        <f t="shared" si="51"/>
        <v>139.37110023112274</v>
      </c>
      <c r="T200" s="167">
        <f t="shared" si="52"/>
        <v>209.05665034668408</v>
      </c>
      <c r="U200" s="168">
        <f t="shared" si="53"/>
        <v>0.46948865972067644</v>
      </c>
      <c r="V200" s="169">
        <f t="shared" si="54"/>
        <v>11.149688018489819</v>
      </c>
      <c r="W200" s="170">
        <f t="shared" si="55"/>
        <v>98.149726576958798</v>
      </c>
      <c r="X200" s="170">
        <f t="shared" si="56"/>
        <v>109.29941459544861</v>
      </c>
    </row>
    <row r="201" spans="18:24" x14ac:dyDescent="0.15">
      <c r="R201" s="166">
        <v>6</v>
      </c>
      <c r="S201" s="1">
        <f t="shared" si="51"/>
        <v>139.37110023112274</v>
      </c>
      <c r="T201" s="167">
        <f t="shared" si="52"/>
        <v>209.05665034668408</v>
      </c>
      <c r="U201" s="168">
        <f t="shared" si="53"/>
        <v>0.47222734356904683</v>
      </c>
      <c r="V201" s="169">
        <f t="shared" si="54"/>
        <v>11.149688018489819</v>
      </c>
      <c r="W201" s="170">
        <f t="shared" si="55"/>
        <v>98.72226664865768</v>
      </c>
      <c r="X201" s="170">
        <f t="shared" si="56"/>
        <v>109.87195466714749</v>
      </c>
    </row>
    <row r="202" spans="18:24" x14ac:dyDescent="0.15">
      <c r="R202" s="166">
        <v>7</v>
      </c>
      <c r="S202" s="1">
        <f t="shared" si="51"/>
        <v>139.37110023112274</v>
      </c>
      <c r="T202" s="167">
        <f t="shared" si="52"/>
        <v>209.05665034668408</v>
      </c>
      <c r="U202" s="168">
        <f t="shared" si="53"/>
        <v>0.47498200307319943</v>
      </c>
      <c r="V202" s="169">
        <f t="shared" si="54"/>
        <v>11.149688018489819</v>
      </c>
      <c r="W202" s="170">
        <f t="shared" si="55"/>
        <v>99.298146537441482</v>
      </c>
      <c r="X202" s="170">
        <f t="shared" si="56"/>
        <v>110.44783455593131</v>
      </c>
    </row>
    <row r="203" spans="18:24" x14ac:dyDescent="0.15">
      <c r="R203" s="166">
        <v>8</v>
      </c>
      <c r="S203" s="1">
        <f t="shared" si="51"/>
        <v>139.37110023112274</v>
      </c>
      <c r="T203" s="167">
        <f t="shared" si="52"/>
        <v>209.05665034668408</v>
      </c>
      <c r="U203" s="168">
        <f t="shared" si="53"/>
        <v>0.47775273142445956</v>
      </c>
      <c r="V203" s="169">
        <f t="shared" si="54"/>
        <v>11.149688018489819</v>
      </c>
      <c r="W203" s="170">
        <f t="shared" si="55"/>
        <v>99.877385725576517</v>
      </c>
      <c r="X203" s="170">
        <f t="shared" si="56"/>
        <v>111.02707374406634</v>
      </c>
    </row>
    <row r="204" spans="18:24" x14ac:dyDescent="0.15">
      <c r="R204" s="166">
        <v>9</v>
      </c>
      <c r="S204" s="1">
        <f t="shared" si="51"/>
        <v>139.37110023112274</v>
      </c>
      <c r="T204" s="167">
        <f t="shared" si="52"/>
        <v>209.05665034668408</v>
      </c>
      <c r="U204" s="168">
        <f t="shared" si="53"/>
        <v>0.4805396223577687</v>
      </c>
      <c r="V204" s="169">
        <f t="shared" si="54"/>
        <v>11.149688018489819</v>
      </c>
      <c r="W204" s="170">
        <f t="shared" si="55"/>
        <v>100.46000380897566</v>
      </c>
      <c r="X204" s="170">
        <f t="shared" si="56"/>
        <v>111.60969182746547</v>
      </c>
    </row>
    <row r="205" spans="18:24" x14ac:dyDescent="0.15">
      <c r="R205" s="166">
        <v>10</v>
      </c>
      <c r="S205" s="1">
        <f t="shared" si="51"/>
        <v>139.37110023112274</v>
      </c>
      <c r="T205" s="167">
        <f t="shared" si="52"/>
        <v>209.05665034668408</v>
      </c>
      <c r="U205" s="168">
        <f t="shared" si="53"/>
        <v>0.48334277015485549</v>
      </c>
      <c r="V205" s="169">
        <f t="shared" si="54"/>
        <v>11.149688018489819</v>
      </c>
      <c r="W205" s="170">
        <f t="shared" si="55"/>
        <v>101.04602049786132</v>
      </c>
      <c r="X205" s="170">
        <f t="shared" si="56"/>
        <v>112.19570851635115</v>
      </c>
    </row>
    <row r="206" spans="18:24" x14ac:dyDescent="0.15">
      <c r="R206" s="166">
        <v>11</v>
      </c>
      <c r="S206" s="1">
        <f t="shared" si="51"/>
        <v>139.37110023112274</v>
      </c>
      <c r="T206" s="167">
        <f t="shared" si="52"/>
        <v>209.05665034668408</v>
      </c>
      <c r="U206" s="168">
        <f t="shared" si="53"/>
        <v>0.48616226964742526</v>
      </c>
      <c r="V206" s="169">
        <f t="shared" si="54"/>
        <v>11.149688018489819</v>
      </c>
      <c r="W206" s="170">
        <f t="shared" si="55"/>
        <v>101.63545561743213</v>
      </c>
      <c r="X206" s="170">
        <f t="shared" si="56"/>
        <v>112.78514363592194</v>
      </c>
    </row>
    <row r="207" spans="18:24" x14ac:dyDescent="0.15">
      <c r="R207" s="166">
        <v>12</v>
      </c>
      <c r="S207" s="1">
        <f t="shared" si="51"/>
        <v>139.37110023112274</v>
      </c>
      <c r="T207" s="167">
        <f t="shared" si="52"/>
        <v>209.05665034668408</v>
      </c>
      <c r="U207" s="168">
        <f t="shared" si="53"/>
        <v>0.48899821622036838</v>
      </c>
      <c r="V207" s="169">
        <f t="shared" si="54"/>
        <v>11.149688018489819</v>
      </c>
      <c r="W207" s="170">
        <f t="shared" si="55"/>
        <v>102.22832910853377</v>
      </c>
      <c r="X207" s="170">
        <f t="shared" si="56"/>
        <v>113.37801712702358</v>
      </c>
    </row>
    <row r="208" spans="18:24" ht="16" x14ac:dyDescent="0.3">
      <c r="R208" s="198">
        <f>SUM(S208:T208)</f>
        <v>4181.1330069336809</v>
      </c>
      <c r="S208" s="118">
        <f>IF($C$17&gt;=S193,SUM(S196:S207),"")</f>
        <v>1672.4532027734724</v>
      </c>
      <c r="T208" s="119">
        <f>IF($C$17&gt;=S193,SUM(T196:T207),"")</f>
        <v>2508.6798041602087</v>
      </c>
      <c r="U208" s="184">
        <f>IF(Y209="",0,AVERAGE(U196:U207))</f>
        <v>0.47369814151369888</v>
      </c>
      <c r="V208" s="120">
        <f>IF($C$17&gt;=S193,SUM(V196:V207),"")</f>
        <v>133.79625622187785</v>
      </c>
      <c r="W208" s="121">
        <f>IF($C$17&gt;=S193,SUM(W196:W207),"")</f>
        <v>1188.3569608836408</v>
      </c>
      <c r="X208" s="121">
        <f>IF($C$17&gt;=S193,SUM(X196:X207),"")</f>
        <v>1322.1532171055187</v>
      </c>
    </row>
    <row r="209" spans="18:25" x14ac:dyDescent="0.15">
      <c r="W209" s="156" t="s">
        <v>53</v>
      </c>
      <c r="X209" s="117">
        <f>IF(AND($D$38="Yes",$D$40+1=S193,$C$17&gt;=S193),$B$40,0)</f>
        <v>0</v>
      </c>
      <c r="Y209" s="142">
        <f>IF(X208="","",IF($D$38="No",X208,IF($D$38="Yes",X208-X209,X208)))</f>
        <v>1322.1532171055187</v>
      </c>
    </row>
    <row r="210" spans="18:25" ht="14" thickBot="1" x14ac:dyDescent="0.2"/>
    <row r="211" spans="18:25" ht="17" thickBot="1" x14ac:dyDescent="0.25">
      <c r="R211" s="126" t="s">
        <v>48</v>
      </c>
      <c r="S211" s="127">
        <v>9</v>
      </c>
      <c r="T211" s="154" t="s">
        <v>66</v>
      </c>
      <c r="U211" s="143">
        <f>U193-($C$36*U193)</f>
        <v>347.38246732607342</v>
      </c>
      <c r="V211" s="155" t="s">
        <v>68</v>
      </c>
      <c r="W211" s="185">
        <f>ROUND($C$25/12,15)</f>
        <v>5.8333333333329997E-3</v>
      </c>
      <c r="X211" s="161">
        <f>IF(X226="",0,(U211*12-(U211*12)*$C$36)/POWER(1+0,S211))</f>
        <v>4156.0838390891431</v>
      </c>
    </row>
    <row r="212" spans="18:25" x14ac:dyDescent="0.15">
      <c r="U212" s="182" t="s">
        <v>76</v>
      </c>
      <c r="V212" s="166">
        <f>IF(S211&lt;=$C$31,$C$29,IF(AND(S211&gt;$C$31,$B$34="Yes"),AVERAGE(U214:U225),$D$34))</f>
        <v>0.08</v>
      </c>
    </row>
    <row r="213" spans="18:25" x14ac:dyDescent="0.15">
      <c r="R213" s="122" t="s">
        <v>70</v>
      </c>
      <c r="S213" s="124">
        <f>$C$27</f>
        <v>0.4</v>
      </c>
      <c r="T213" s="125">
        <f>100%-$S213</f>
        <v>0.6</v>
      </c>
      <c r="U213" s="112" t="s">
        <v>72</v>
      </c>
      <c r="V213" s="115" t="s">
        <v>71</v>
      </c>
      <c r="W213" s="115" t="s">
        <v>67</v>
      </c>
      <c r="X213" s="116" t="s">
        <v>69</v>
      </c>
    </row>
    <row r="214" spans="18:25" x14ac:dyDescent="0.15">
      <c r="R214" s="166">
        <v>1</v>
      </c>
      <c r="S214" s="1">
        <f>$U$211*$C$27</f>
        <v>138.95298693042938</v>
      </c>
      <c r="T214" s="167">
        <f>$U$211*(100%-$C$27)</f>
        <v>208.42948039564405</v>
      </c>
      <c r="U214" s="168">
        <f>U207*(1+$W$211)</f>
        <v>0.49185070581498697</v>
      </c>
      <c r="V214" s="169">
        <f>S214*$V$212</f>
        <v>11.116238954434349</v>
      </c>
      <c r="W214" s="170">
        <f>T214*U214</f>
        <v>102.51618704524851</v>
      </c>
      <c r="X214" s="170">
        <f>W214+V214</f>
        <v>113.63242599968287</v>
      </c>
    </row>
    <row r="215" spans="18:25" x14ac:dyDescent="0.15">
      <c r="R215" s="166">
        <v>2</v>
      </c>
      <c r="S215" s="1">
        <f t="shared" ref="S215:S225" si="57">$U$211*$C$27</f>
        <v>138.95298693042938</v>
      </c>
      <c r="T215" s="167">
        <f t="shared" ref="T215:T225" si="58">$U$211*(100%-$C$27)</f>
        <v>208.42948039564405</v>
      </c>
      <c r="U215" s="168">
        <f>U214*(1+$W$211)</f>
        <v>0.49471983493224087</v>
      </c>
      <c r="V215" s="169">
        <f t="shared" ref="V215:V225" si="59">S215*$V$212</f>
        <v>11.116238954434349</v>
      </c>
      <c r="W215" s="170">
        <f t="shared" ref="W215:W225" si="60">T215*U215</f>
        <v>103.11419813634576</v>
      </c>
      <c r="X215" s="170">
        <f t="shared" ref="X215:X225" si="61">W215+V215</f>
        <v>114.23043709078011</v>
      </c>
    </row>
    <row r="216" spans="18:25" x14ac:dyDescent="0.15">
      <c r="R216" s="166">
        <v>3</v>
      </c>
      <c r="S216" s="1">
        <f t="shared" si="57"/>
        <v>138.95298693042938</v>
      </c>
      <c r="T216" s="167">
        <f t="shared" si="58"/>
        <v>208.42948039564405</v>
      </c>
      <c r="U216" s="168">
        <f t="shared" ref="U216:U225" si="62">U215*(1+$W$211)</f>
        <v>0.49760570063601206</v>
      </c>
      <c r="V216" s="169">
        <f t="shared" si="59"/>
        <v>11.116238954434349</v>
      </c>
      <c r="W216" s="170">
        <f t="shared" si="60"/>
        <v>103.71569762547439</v>
      </c>
      <c r="X216" s="170">
        <f t="shared" si="61"/>
        <v>114.83193657990874</v>
      </c>
    </row>
    <row r="217" spans="18:25" x14ac:dyDescent="0.15">
      <c r="R217" s="166">
        <v>4</v>
      </c>
      <c r="S217" s="1">
        <f t="shared" si="57"/>
        <v>138.95298693042938</v>
      </c>
      <c r="T217" s="167">
        <f t="shared" si="58"/>
        <v>208.42948039564405</v>
      </c>
      <c r="U217" s="168">
        <f t="shared" si="62"/>
        <v>0.50050840055638857</v>
      </c>
      <c r="V217" s="169">
        <f t="shared" si="59"/>
        <v>11.116238954434349</v>
      </c>
      <c r="W217" s="170">
        <f t="shared" si="60"/>
        <v>104.32070586162295</v>
      </c>
      <c r="X217" s="170">
        <f t="shared" si="61"/>
        <v>115.43694481605731</v>
      </c>
    </row>
    <row r="218" spans="18:25" x14ac:dyDescent="0.15">
      <c r="R218" s="166">
        <v>5</v>
      </c>
      <c r="S218" s="1">
        <f t="shared" si="57"/>
        <v>138.95298693042938</v>
      </c>
      <c r="T218" s="167">
        <f t="shared" si="58"/>
        <v>208.42948039564405</v>
      </c>
      <c r="U218" s="168">
        <f t="shared" si="62"/>
        <v>0.50342803289296734</v>
      </c>
      <c r="V218" s="169">
        <f t="shared" si="59"/>
        <v>11.116238954434349</v>
      </c>
      <c r="W218" s="170">
        <f t="shared" si="60"/>
        <v>104.92924331248238</v>
      </c>
      <c r="X218" s="170">
        <f t="shared" si="61"/>
        <v>116.04548226691674</v>
      </c>
    </row>
    <row r="219" spans="18:25" x14ac:dyDescent="0.15">
      <c r="R219" s="166">
        <v>6</v>
      </c>
      <c r="S219" s="1">
        <f t="shared" si="57"/>
        <v>138.95298693042938</v>
      </c>
      <c r="T219" s="167">
        <f t="shared" si="58"/>
        <v>208.42948039564405</v>
      </c>
      <c r="U219" s="168">
        <f t="shared" si="62"/>
        <v>0.50636469641817605</v>
      </c>
      <c r="V219" s="169">
        <f t="shared" si="59"/>
        <v>11.116238954434349</v>
      </c>
      <c r="W219" s="170">
        <f t="shared" si="60"/>
        <v>105.54133056513848</v>
      </c>
      <c r="X219" s="170">
        <f t="shared" si="61"/>
        <v>116.65756951957283</v>
      </c>
    </row>
    <row r="220" spans="18:25" x14ac:dyDescent="0.15">
      <c r="R220" s="166">
        <v>7</v>
      </c>
      <c r="S220" s="1">
        <f t="shared" si="57"/>
        <v>138.95298693042938</v>
      </c>
      <c r="T220" s="167">
        <f t="shared" si="58"/>
        <v>208.42948039564405</v>
      </c>
      <c r="U220" s="168">
        <f t="shared" si="62"/>
        <v>0.50931849048061517</v>
      </c>
      <c r="V220" s="169">
        <f t="shared" si="59"/>
        <v>11.116238954434349</v>
      </c>
      <c r="W220" s="170">
        <f t="shared" si="60"/>
        <v>106.1569883267684</v>
      </c>
      <c r="X220" s="170">
        <f t="shared" si="61"/>
        <v>117.27322728120275</v>
      </c>
    </row>
    <row r="221" spans="18:25" x14ac:dyDescent="0.15">
      <c r="R221" s="166">
        <v>8</v>
      </c>
      <c r="S221" s="1">
        <f t="shared" si="57"/>
        <v>138.95298693042938</v>
      </c>
      <c r="T221" s="167">
        <f t="shared" si="58"/>
        <v>208.42948039564405</v>
      </c>
      <c r="U221" s="168">
        <f t="shared" si="62"/>
        <v>0.51228951500841857</v>
      </c>
      <c r="V221" s="169">
        <f t="shared" si="59"/>
        <v>11.116238954434349</v>
      </c>
      <c r="W221" s="170">
        <f t="shared" si="60"/>
        <v>106.77623742534118</v>
      </c>
      <c r="X221" s="170">
        <f t="shared" si="61"/>
        <v>117.89247637977553</v>
      </c>
    </row>
    <row r="222" spans="18:25" x14ac:dyDescent="0.15">
      <c r="R222" s="166">
        <v>9</v>
      </c>
      <c r="S222" s="1">
        <f t="shared" si="57"/>
        <v>138.95298693042938</v>
      </c>
      <c r="T222" s="167">
        <f t="shared" si="58"/>
        <v>208.42948039564405</v>
      </c>
      <c r="U222" s="168">
        <f t="shared" si="62"/>
        <v>0.51527787051263418</v>
      </c>
      <c r="V222" s="169">
        <f t="shared" si="59"/>
        <v>11.116238954434349</v>
      </c>
      <c r="W222" s="170">
        <f t="shared" si="60"/>
        <v>107.3990988103223</v>
      </c>
      <c r="X222" s="170">
        <f t="shared" si="61"/>
        <v>118.51533776475665</v>
      </c>
    </row>
    <row r="223" spans="18:25" x14ac:dyDescent="0.15">
      <c r="R223" s="166">
        <v>10</v>
      </c>
      <c r="S223" s="1">
        <f t="shared" si="57"/>
        <v>138.95298693042938</v>
      </c>
      <c r="T223" s="167">
        <f t="shared" si="58"/>
        <v>208.42948039564405</v>
      </c>
      <c r="U223" s="168">
        <f t="shared" si="62"/>
        <v>0.51828365809062438</v>
      </c>
      <c r="V223" s="169">
        <f t="shared" si="59"/>
        <v>11.116238954434349</v>
      </c>
      <c r="W223" s="170">
        <f t="shared" si="60"/>
        <v>108.02559355338248</v>
      </c>
      <c r="X223" s="170">
        <f t="shared" si="61"/>
        <v>119.14183250781683</v>
      </c>
    </row>
    <row r="224" spans="18:25" x14ac:dyDescent="0.15">
      <c r="R224" s="166">
        <v>11</v>
      </c>
      <c r="S224" s="1">
        <f t="shared" si="57"/>
        <v>138.95298693042938</v>
      </c>
      <c r="T224" s="167">
        <f t="shared" si="58"/>
        <v>208.42948039564405</v>
      </c>
      <c r="U224" s="168">
        <f t="shared" si="62"/>
        <v>0.52130697942948612</v>
      </c>
      <c r="V224" s="169">
        <f t="shared" si="59"/>
        <v>11.116238954434349</v>
      </c>
      <c r="W224" s="170">
        <f t="shared" si="60"/>
        <v>108.6557428491105</v>
      </c>
      <c r="X224" s="170">
        <f t="shared" si="61"/>
        <v>119.77198180354485</v>
      </c>
    </row>
    <row r="225" spans="18:25" x14ac:dyDescent="0.15">
      <c r="R225" s="166">
        <v>12</v>
      </c>
      <c r="S225" s="1">
        <f t="shared" si="57"/>
        <v>138.95298693042938</v>
      </c>
      <c r="T225" s="167">
        <f t="shared" si="58"/>
        <v>208.42948039564405</v>
      </c>
      <c r="U225" s="168">
        <f t="shared" si="62"/>
        <v>0.52434793680949121</v>
      </c>
      <c r="V225" s="169">
        <f t="shared" si="59"/>
        <v>11.116238954434349</v>
      </c>
      <c r="W225" s="170">
        <f t="shared" si="60"/>
        <v>109.28956801573025</v>
      </c>
      <c r="X225" s="170">
        <f t="shared" si="61"/>
        <v>120.4058069701646</v>
      </c>
    </row>
    <row r="226" spans="18:25" ht="16" x14ac:dyDescent="0.3">
      <c r="R226" s="198">
        <f>SUM(S226:T226)</f>
        <v>4168.5896079128815</v>
      </c>
      <c r="S226" s="118">
        <f>IF($C$17&gt;=S211,SUM(S214:S225),"")</f>
        <v>1667.4358431651528</v>
      </c>
      <c r="T226" s="119">
        <f>IF($C$17&gt;=S211,SUM(T214:T225),"")</f>
        <v>2501.1537647477285</v>
      </c>
      <c r="U226" s="184">
        <f>IF(Y227="",0,AVERAGE(U214:U225))</f>
        <v>0.50794181846517006</v>
      </c>
      <c r="V226" s="120">
        <f>IF($C$17&gt;=S211,SUM(V214:V225),"")</f>
        <v>133.39486745321219</v>
      </c>
      <c r="W226" s="121">
        <f>IF($C$17&gt;=S211,SUM(W214:W225),"")</f>
        <v>1270.4405915269679</v>
      </c>
      <c r="X226" s="121">
        <f>IF($C$17&gt;=S211,SUM(X214:X225),"")</f>
        <v>1403.8354589801797</v>
      </c>
    </row>
    <row r="227" spans="18:25" x14ac:dyDescent="0.15">
      <c r="W227" s="156" t="s">
        <v>53</v>
      </c>
      <c r="X227" s="117">
        <f>IF(AND($D$38="Yes",$D$40+1=S211,$C$17&gt;=S211),$B$40,0)</f>
        <v>0</v>
      </c>
      <c r="Y227" s="142">
        <f>IF(X226="","",IF($D$38="No",X226,IF($D$38="Yes",X226-X227,X226)))</f>
        <v>1403.8354589801797</v>
      </c>
    </row>
    <row r="228" spans="18:25" ht="14" thickBot="1" x14ac:dyDescent="0.2"/>
    <row r="229" spans="18:25" ht="17" thickBot="1" x14ac:dyDescent="0.25">
      <c r="R229" s="126" t="s">
        <v>48</v>
      </c>
      <c r="S229" s="127">
        <v>10</v>
      </c>
      <c r="T229" s="154" t="s">
        <v>66</v>
      </c>
      <c r="U229" s="143">
        <f>U211-($C$36*U211)</f>
        <v>346.34031992409518</v>
      </c>
      <c r="V229" s="155" t="s">
        <v>68</v>
      </c>
      <c r="W229" s="185">
        <f>ROUND($C$25/12,15)</f>
        <v>5.8333333333329997E-3</v>
      </c>
      <c r="X229" s="161">
        <f>IF(X244="",0,(U229*12-(U229*12)*$C$36)/POWER(1+0,S229))</f>
        <v>4143.615587571875</v>
      </c>
    </row>
    <row r="230" spans="18:25" x14ac:dyDescent="0.15">
      <c r="U230" s="182" t="s">
        <v>76</v>
      </c>
      <c r="V230" s="166">
        <f>IF(S229&lt;=$C$31,$C$29,IF(AND(S229&gt;$C$31,$B$34="Yes"),AVERAGE(U232:U243),$D$34))</f>
        <v>0.08</v>
      </c>
    </row>
    <row r="231" spans="18:25" x14ac:dyDescent="0.15">
      <c r="R231" s="122" t="s">
        <v>70</v>
      </c>
      <c r="S231" s="124">
        <f>$C$27</f>
        <v>0.4</v>
      </c>
      <c r="T231" s="125">
        <f>100%-$S231</f>
        <v>0.6</v>
      </c>
      <c r="U231" s="112" t="s">
        <v>72</v>
      </c>
      <c r="V231" s="115" t="s">
        <v>71</v>
      </c>
      <c r="W231" s="115" t="s">
        <v>67</v>
      </c>
      <c r="X231" s="116" t="s">
        <v>69</v>
      </c>
    </row>
    <row r="232" spans="18:25" x14ac:dyDescent="0.15">
      <c r="R232" s="166">
        <v>1</v>
      </c>
      <c r="S232" s="1">
        <f>$U$229*$C$27</f>
        <v>138.53612796963807</v>
      </c>
      <c r="T232" s="167">
        <f>$U$229*(100%-$C$27)</f>
        <v>207.80419195445711</v>
      </c>
      <c r="U232" s="168">
        <f>U225*(1+$W$229)</f>
        <v>0.52740663310754632</v>
      </c>
      <c r="V232" s="169">
        <f>S232*$V$230</f>
        <v>11.082890237571046</v>
      </c>
      <c r="W232" s="170">
        <f>T232*U232</f>
        <v>109.5973092243345</v>
      </c>
      <c r="X232" s="170">
        <f t="shared" ref="X232:X243" si="63">W232+V232</f>
        <v>120.68019946190554</v>
      </c>
    </row>
    <row r="233" spans="18:25" x14ac:dyDescent="0.15">
      <c r="R233" s="166">
        <v>2</v>
      </c>
      <c r="S233" s="1">
        <f t="shared" ref="S233:S243" si="64">$U$229*$C$27</f>
        <v>138.53612796963807</v>
      </c>
      <c r="T233" s="167">
        <f t="shared" ref="T233:T243" si="65">$U$229*(100%-$C$27)</f>
        <v>207.80419195445711</v>
      </c>
      <c r="U233" s="168">
        <f>U232*(1+$W$85)</f>
        <v>0.5304831718006735</v>
      </c>
      <c r="V233" s="169">
        <f t="shared" ref="V233:V243" si="66">S233*$V$230</f>
        <v>11.082890237571046</v>
      </c>
      <c r="W233" s="170">
        <f t="shared" ref="W233:W243" si="67">T233*U233</f>
        <v>110.23662686147641</v>
      </c>
      <c r="X233" s="170">
        <f t="shared" si="63"/>
        <v>121.31951709904746</v>
      </c>
    </row>
    <row r="234" spans="18:25" x14ac:dyDescent="0.15">
      <c r="R234" s="166">
        <v>3</v>
      </c>
      <c r="S234" s="1">
        <f t="shared" si="64"/>
        <v>138.53612796963807</v>
      </c>
      <c r="T234" s="167">
        <f t="shared" si="65"/>
        <v>207.80419195445711</v>
      </c>
      <c r="U234" s="168">
        <f t="shared" ref="U234:U243" si="68">U233*(1+$W$85)</f>
        <v>0.53357765696951054</v>
      </c>
      <c r="V234" s="169">
        <f t="shared" si="66"/>
        <v>11.082890237571046</v>
      </c>
      <c r="W234" s="170">
        <f t="shared" si="67"/>
        <v>110.87967385150164</v>
      </c>
      <c r="X234" s="170">
        <f t="shared" si="63"/>
        <v>121.96256408907269</v>
      </c>
    </row>
    <row r="235" spans="18:25" x14ac:dyDescent="0.15">
      <c r="R235" s="166">
        <v>4</v>
      </c>
      <c r="S235" s="1">
        <f t="shared" si="64"/>
        <v>138.53612796963807</v>
      </c>
      <c r="T235" s="167">
        <f t="shared" si="65"/>
        <v>207.80419195445711</v>
      </c>
      <c r="U235" s="168">
        <f t="shared" si="68"/>
        <v>0.53669019330183243</v>
      </c>
      <c r="V235" s="169">
        <f t="shared" si="66"/>
        <v>11.082890237571046</v>
      </c>
      <c r="W235" s="170">
        <f t="shared" si="67"/>
        <v>111.52647194896868</v>
      </c>
      <c r="X235" s="170">
        <f t="shared" si="63"/>
        <v>122.60936218653973</v>
      </c>
    </row>
    <row r="236" spans="18:25" x14ac:dyDescent="0.15">
      <c r="R236" s="166">
        <v>5</v>
      </c>
      <c r="S236" s="1">
        <f t="shared" si="64"/>
        <v>138.53612796963807</v>
      </c>
      <c r="T236" s="167">
        <f t="shared" si="65"/>
        <v>207.80419195445711</v>
      </c>
      <c r="U236" s="168">
        <f t="shared" si="68"/>
        <v>0.53982088609609291</v>
      </c>
      <c r="V236" s="169">
        <f t="shared" si="66"/>
        <v>11.082890237571046</v>
      </c>
      <c r="W236" s="170">
        <f t="shared" si="67"/>
        <v>112.17704303533762</v>
      </c>
      <c r="X236" s="170">
        <f t="shared" si="63"/>
        <v>123.25993327290867</v>
      </c>
    </row>
    <row r="237" spans="18:25" x14ac:dyDescent="0.15">
      <c r="R237" s="166">
        <v>6</v>
      </c>
      <c r="S237" s="1">
        <f t="shared" si="64"/>
        <v>138.53612796963807</v>
      </c>
      <c r="T237" s="167">
        <f t="shared" si="65"/>
        <v>207.80419195445711</v>
      </c>
      <c r="U237" s="168">
        <f t="shared" si="68"/>
        <v>0.5429698412649866</v>
      </c>
      <c r="V237" s="169">
        <f t="shared" si="66"/>
        <v>11.082890237571046</v>
      </c>
      <c r="W237" s="170">
        <f t="shared" si="67"/>
        <v>112.83140911971039</v>
      </c>
      <c r="X237" s="170">
        <f t="shared" si="63"/>
        <v>123.91429935728144</v>
      </c>
    </row>
    <row r="238" spans="18:25" x14ac:dyDescent="0.15">
      <c r="R238" s="166">
        <v>7</v>
      </c>
      <c r="S238" s="1">
        <f t="shared" si="64"/>
        <v>138.53612796963807</v>
      </c>
      <c r="T238" s="167">
        <f t="shared" si="65"/>
        <v>207.80419195445711</v>
      </c>
      <c r="U238" s="168">
        <f t="shared" si="68"/>
        <v>0.54613716533903212</v>
      </c>
      <c r="V238" s="169">
        <f t="shared" si="66"/>
        <v>11.082890237571046</v>
      </c>
      <c r="W238" s="170">
        <f t="shared" si="67"/>
        <v>113.48959233957531</v>
      </c>
      <c r="X238" s="170">
        <f t="shared" si="63"/>
        <v>124.57248257714636</v>
      </c>
    </row>
    <row r="239" spans="18:25" x14ac:dyDescent="0.15">
      <c r="R239" s="166">
        <v>8</v>
      </c>
      <c r="S239" s="1">
        <f t="shared" si="64"/>
        <v>138.53612796963807</v>
      </c>
      <c r="T239" s="167">
        <f t="shared" si="65"/>
        <v>207.80419195445711</v>
      </c>
      <c r="U239" s="168">
        <f t="shared" si="68"/>
        <v>0.54932296547017623</v>
      </c>
      <c r="V239" s="169">
        <f t="shared" si="66"/>
        <v>11.082890237571046</v>
      </c>
      <c r="W239" s="170">
        <f t="shared" si="67"/>
        <v>114.15161496155612</v>
      </c>
      <c r="X239" s="170">
        <f t="shared" si="63"/>
        <v>125.23450519912717</v>
      </c>
    </row>
    <row r="240" spans="18:25" x14ac:dyDescent="0.15">
      <c r="R240" s="166">
        <v>9</v>
      </c>
      <c r="S240" s="1">
        <f t="shared" si="64"/>
        <v>138.53612796963807</v>
      </c>
      <c r="T240" s="167">
        <f t="shared" si="65"/>
        <v>207.80419195445711</v>
      </c>
      <c r="U240" s="168">
        <f t="shared" si="68"/>
        <v>0.5525273494354187</v>
      </c>
      <c r="V240" s="169">
        <f t="shared" si="66"/>
        <v>11.082890237571046</v>
      </c>
      <c r="W240" s="170">
        <f t="shared" si="67"/>
        <v>114.81749938216515</v>
      </c>
      <c r="X240" s="170">
        <f t="shared" si="63"/>
        <v>125.9003896197362</v>
      </c>
    </row>
    <row r="241" spans="18:25" x14ac:dyDescent="0.15">
      <c r="R241" s="166">
        <v>10</v>
      </c>
      <c r="S241" s="1">
        <f t="shared" si="64"/>
        <v>138.53612796963807</v>
      </c>
      <c r="T241" s="167">
        <f t="shared" si="65"/>
        <v>207.80419195445711</v>
      </c>
      <c r="U241" s="168">
        <f t="shared" si="68"/>
        <v>0.5557504256404584</v>
      </c>
      <c r="V241" s="169">
        <f t="shared" si="66"/>
        <v>11.082890237571046</v>
      </c>
      <c r="W241" s="170">
        <f t="shared" si="67"/>
        <v>115.48726812856106</v>
      </c>
      <c r="X241" s="170">
        <f t="shared" si="63"/>
        <v>126.57015836613211</v>
      </c>
    </row>
    <row r="242" spans="18:25" x14ac:dyDescent="0.15">
      <c r="R242" s="166">
        <v>11</v>
      </c>
      <c r="S242" s="1">
        <f t="shared" si="64"/>
        <v>138.53612796963807</v>
      </c>
      <c r="T242" s="167">
        <f t="shared" si="65"/>
        <v>207.80419195445711</v>
      </c>
      <c r="U242" s="168">
        <f t="shared" si="68"/>
        <v>0.55899230312336079</v>
      </c>
      <c r="V242" s="169">
        <f t="shared" si="66"/>
        <v>11.082890237571046</v>
      </c>
      <c r="W242" s="170">
        <f t="shared" si="67"/>
        <v>116.16094385931095</v>
      </c>
      <c r="X242" s="170">
        <f t="shared" si="63"/>
        <v>127.243834096882</v>
      </c>
    </row>
    <row r="243" spans="18:25" x14ac:dyDescent="0.15">
      <c r="R243" s="166">
        <v>12</v>
      </c>
      <c r="S243" s="1">
        <f t="shared" si="64"/>
        <v>138.53612796963807</v>
      </c>
      <c r="T243" s="167">
        <f t="shared" si="65"/>
        <v>207.80419195445711</v>
      </c>
      <c r="U243" s="168">
        <f t="shared" si="68"/>
        <v>0.56225309155824688</v>
      </c>
      <c r="V243" s="169">
        <f t="shared" si="66"/>
        <v>11.082890237571046</v>
      </c>
      <c r="W243" s="170">
        <f t="shared" si="67"/>
        <v>116.83854936515688</v>
      </c>
      <c r="X243" s="170">
        <f t="shared" si="63"/>
        <v>127.92143960272793</v>
      </c>
    </row>
    <row r="244" spans="18:25" ht="16" x14ac:dyDescent="0.3">
      <c r="R244" s="198">
        <f>SUM(S244:T244)</f>
        <v>4156.0838390891422</v>
      </c>
      <c r="S244" s="118">
        <f>IF($C$17&gt;=S229,SUM(S232:S243),"")</f>
        <v>1662.4335356356569</v>
      </c>
      <c r="T244" s="119">
        <f>IF($C$17&gt;=S229,SUM(T232:T243),"")</f>
        <v>2493.6503034534853</v>
      </c>
      <c r="U244" s="184">
        <f>IF(Y245="",0,AVERAGE(U232:U243))</f>
        <v>0.54466097359227794</v>
      </c>
      <c r="V244" s="120">
        <f>IF($C$17&gt;=S229,SUM(V232:V243),"")</f>
        <v>132.99468285085257</v>
      </c>
      <c r="W244" s="121">
        <f>IF($C$17&gt;=S229,SUM(W232:W243),"")</f>
        <v>1358.1940020776547</v>
      </c>
      <c r="X244" s="121">
        <f>IF($C$17&gt;=S229,SUM(X232:X243),"")</f>
        <v>1491.1886849285074</v>
      </c>
    </row>
    <row r="245" spans="18:25" x14ac:dyDescent="0.15">
      <c r="W245" s="156" t="s">
        <v>53</v>
      </c>
      <c r="X245" s="117">
        <f>IF(AND($D$38="Yes",$D$40+1=S229,$C$17&gt;=S229),$B$40,0)</f>
        <v>0</v>
      </c>
      <c r="Y245" s="142">
        <f>IF(X244="","",IF($D$38="No",X244,IF($D$38="Yes",X244-X245,X244)))</f>
        <v>1491.1886849285074</v>
      </c>
    </row>
    <row r="246" spans="18:25" ht="14" thickBot="1" x14ac:dyDescent="0.2"/>
    <row r="247" spans="18:25" ht="17" thickBot="1" x14ac:dyDescent="0.25">
      <c r="R247" s="126" t="s">
        <v>48</v>
      </c>
      <c r="S247" s="127">
        <v>11</v>
      </c>
      <c r="T247" s="154" t="s">
        <v>66</v>
      </c>
      <c r="U247" s="143">
        <f>U229-($C$36*U229)</f>
        <v>345.30129896432288</v>
      </c>
      <c r="V247" s="155" t="s">
        <v>68</v>
      </c>
      <c r="W247" s="185">
        <f>ROUND($C$25/12,15)</f>
        <v>5.8333333333329997E-3</v>
      </c>
      <c r="X247" s="161">
        <f>IF(X262="",0,(U247*12-(U247*12)*$C$36)/POWER(1+0,S247))</f>
        <v>4131.1847408091589</v>
      </c>
    </row>
    <row r="248" spans="18:25" x14ac:dyDescent="0.15">
      <c r="U248" s="182" t="s">
        <v>76</v>
      </c>
      <c r="V248" s="166">
        <f>IF(S247&lt;=$C$31,$C$29,IF(AND(S247&gt;$C$31,$B$34="Yes"),AVERAGE(U250:U261),$D$34))</f>
        <v>0.08</v>
      </c>
    </row>
    <row r="249" spans="18:25" x14ac:dyDescent="0.15">
      <c r="R249" s="122" t="s">
        <v>70</v>
      </c>
      <c r="S249" s="124">
        <f>$C$27</f>
        <v>0.4</v>
      </c>
      <c r="T249" s="125">
        <f>100%-$S249</f>
        <v>0.6</v>
      </c>
      <c r="U249" s="112" t="s">
        <v>72</v>
      </c>
      <c r="V249" s="115" t="s">
        <v>71</v>
      </c>
      <c r="W249" s="115" t="s">
        <v>67</v>
      </c>
      <c r="X249" s="116" t="s">
        <v>69</v>
      </c>
    </row>
    <row r="250" spans="18:25" x14ac:dyDescent="0.15">
      <c r="R250" s="166">
        <v>1</v>
      </c>
      <c r="S250" s="1">
        <f>$U$247*$C$27</f>
        <v>138.12051958572917</v>
      </c>
      <c r="T250" s="167">
        <f>$U$247*(100%-$C$27)</f>
        <v>207.18077937859371</v>
      </c>
      <c r="U250" s="168">
        <f>U243*(1+W247)</f>
        <v>0.56553290125900313</v>
      </c>
      <c r="V250" s="169">
        <f>S250*$V$248</f>
        <v>11.049641566858334</v>
      </c>
      <c r="W250" s="170">
        <f t="shared" ref="W250:W261" si="69">T250*U250</f>
        <v>117.16754724707755</v>
      </c>
      <c r="X250" s="170">
        <f t="shared" ref="X250:X261" si="70">W250+V250</f>
        <v>128.21718881393588</v>
      </c>
    </row>
    <row r="251" spans="18:25" x14ac:dyDescent="0.15">
      <c r="R251" s="166">
        <v>2</v>
      </c>
      <c r="S251" s="1">
        <f t="shared" ref="S251:S261" si="71">$U$247*$C$27</f>
        <v>138.12051958572917</v>
      </c>
      <c r="T251" s="167">
        <f t="shared" ref="T251:T261" si="72">$U$247*(100%-$C$27)</f>
        <v>207.18077937859371</v>
      </c>
      <c r="U251" s="168">
        <f>U250*(1+$W$247)</f>
        <v>0.56883184318301372</v>
      </c>
      <c r="V251" s="169">
        <f t="shared" ref="V251:V261" si="73">S251*$V$248</f>
        <v>11.049641566858334</v>
      </c>
      <c r="W251" s="170">
        <f t="shared" si="69"/>
        <v>117.85102460601878</v>
      </c>
      <c r="X251" s="170">
        <f t="shared" si="70"/>
        <v>128.90066617287712</v>
      </c>
    </row>
    <row r="252" spans="18:25" x14ac:dyDescent="0.15">
      <c r="R252" s="166">
        <v>3</v>
      </c>
      <c r="S252" s="1">
        <f t="shared" si="71"/>
        <v>138.12051958572917</v>
      </c>
      <c r="T252" s="167">
        <f t="shared" si="72"/>
        <v>207.18077937859371</v>
      </c>
      <c r="U252" s="168">
        <f t="shared" ref="U252:U261" si="74">U251*(1+$W$247)</f>
        <v>0.5721500289349144</v>
      </c>
      <c r="V252" s="169">
        <f t="shared" si="73"/>
        <v>11.049641566858334</v>
      </c>
      <c r="W252" s="170">
        <f t="shared" si="69"/>
        <v>118.53848891622052</v>
      </c>
      <c r="X252" s="170">
        <f t="shared" si="70"/>
        <v>129.58813048307886</v>
      </c>
    </row>
    <row r="253" spans="18:25" x14ac:dyDescent="0.15">
      <c r="R253" s="166">
        <v>4</v>
      </c>
      <c r="S253" s="1">
        <f t="shared" si="71"/>
        <v>138.12051958572917</v>
      </c>
      <c r="T253" s="167">
        <f t="shared" si="72"/>
        <v>207.18077937859371</v>
      </c>
      <c r="U253" s="168">
        <f t="shared" si="74"/>
        <v>0.57548757077036783</v>
      </c>
      <c r="V253" s="169">
        <f t="shared" si="73"/>
        <v>11.049641566858334</v>
      </c>
      <c r="W253" s="170">
        <f t="shared" si="69"/>
        <v>119.22996343489841</v>
      </c>
      <c r="X253" s="170">
        <f t="shared" si="70"/>
        <v>130.27960500175675</v>
      </c>
    </row>
    <row r="254" spans="18:25" x14ac:dyDescent="0.15">
      <c r="R254" s="166">
        <v>5</v>
      </c>
      <c r="S254" s="1">
        <f t="shared" si="71"/>
        <v>138.12051958572917</v>
      </c>
      <c r="T254" s="167">
        <f t="shared" si="72"/>
        <v>207.18077937859371</v>
      </c>
      <c r="U254" s="168">
        <f t="shared" si="74"/>
        <v>0.57884458159986141</v>
      </c>
      <c r="V254" s="169">
        <f t="shared" si="73"/>
        <v>11.049641566858334</v>
      </c>
      <c r="W254" s="170">
        <f t="shared" si="69"/>
        <v>119.92547155493527</v>
      </c>
      <c r="X254" s="170">
        <f t="shared" si="70"/>
        <v>130.97511312179361</v>
      </c>
    </row>
    <row r="255" spans="18:25" x14ac:dyDescent="0.15">
      <c r="R255" s="166">
        <v>6</v>
      </c>
      <c r="S255" s="1">
        <f t="shared" si="71"/>
        <v>138.12051958572917</v>
      </c>
      <c r="T255" s="167">
        <f t="shared" si="72"/>
        <v>207.18077937859371</v>
      </c>
      <c r="U255" s="168">
        <f t="shared" si="74"/>
        <v>0.58222117499252701</v>
      </c>
      <c r="V255" s="169">
        <f t="shared" si="73"/>
        <v>11.049641566858334</v>
      </c>
      <c r="W255" s="170">
        <f t="shared" si="69"/>
        <v>120.62503680567234</v>
      </c>
      <c r="X255" s="170">
        <f t="shared" si="70"/>
        <v>131.67467837253068</v>
      </c>
    </row>
    <row r="256" spans="18:25" x14ac:dyDescent="0.15">
      <c r="R256" s="166">
        <v>7</v>
      </c>
      <c r="S256" s="1">
        <f t="shared" si="71"/>
        <v>138.12051958572917</v>
      </c>
      <c r="T256" s="167">
        <f t="shared" si="72"/>
        <v>207.18077937859371</v>
      </c>
      <c r="U256" s="168">
        <f t="shared" si="74"/>
        <v>0.58561746517998314</v>
      </c>
      <c r="V256" s="169">
        <f t="shared" si="73"/>
        <v>11.049641566858334</v>
      </c>
      <c r="W256" s="170">
        <f t="shared" si="69"/>
        <v>121.32868285370537</v>
      </c>
      <c r="X256" s="170">
        <f t="shared" si="70"/>
        <v>132.3783244205637</v>
      </c>
    </row>
    <row r="257" spans="18:25" x14ac:dyDescent="0.15">
      <c r="R257" s="166">
        <v>8</v>
      </c>
      <c r="S257" s="1">
        <f t="shared" si="71"/>
        <v>138.12051958572917</v>
      </c>
      <c r="T257" s="167">
        <f t="shared" si="72"/>
        <v>207.18077937859371</v>
      </c>
      <c r="U257" s="168">
        <f t="shared" si="74"/>
        <v>0.58903356706019949</v>
      </c>
      <c r="V257" s="169">
        <f t="shared" si="73"/>
        <v>11.049641566858334</v>
      </c>
      <c r="W257" s="170">
        <f t="shared" si="69"/>
        <v>122.03643350368527</v>
      </c>
      <c r="X257" s="170">
        <f t="shared" si="70"/>
        <v>133.08607507054361</v>
      </c>
    </row>
    <row r="258" spans="18:25" x14ac:dyDescent="0.15">
      <c r="R258" s="166">
        <v>9</v>
      </c>
      <c r="S258" s="1">
        <f t="shared" si="71"/>
        <v>138.12051958572917</v>
      </c>
      <c r="T258" s="167">
        <f t="shared" si="72"/>
        <v>207.18077937859371</v>
      </c>
      <c r="U258" s="168">
        <f t="shared" si="74"/>
        <v>0.59246959620138373</v>
      </c>
      <c r="V258" s="169">
        <f t="shared" si="73"/>
        <v>11.049641566858334</v>
      </c>
      <c r="W258" s="170">
        <f t="shared" si="69"/>
        <v>122.74831269912339</v>
      </c>
      <c r="X258" s="170">
        <f t="shared" si="70"/>
        <v>133.79795426598173</v>
      </c>
    </row>
    <row r="259" spans="18:25" x14ac:dyDescent="0.15">
      <c r="R259" s="166">
        <v>10</v>
      </c>
      <c r="S259" s="1">
        <f t="shared" si="71"/>
        <v>138.12051958572917</v>
      </c>
      <c r="T259" s="167">
        <f t="shared" si="72"/>
        <v>207.18077937859371</v>
      </c>
      <c r="U259" s="168">
        <f t="shared" si="74"/>
        <v>0.5959256688458916</v>
      </c>
      <c r="V259" s="169">
        <f t="shared" si="73"/>
        <v>11.049641566858334</v>
      </c>
      <c r="W259" s="170">
        <f t="shared" si="69"/>
        <v>123.46434452320156</v>
      </c>
      <c r="X259" s="170">
        <f t="shared" si="70"/>
        <v>134.51398609005989</v>
      </c>
    </row>
    <row r="260" spans="18:25" x14ac:dyDescent="0.15">
      <c r="R260" s="166">
        <v>11</v>
      </c>
      <c r="S260" s="1">
        <f t="shared" si="71"/>
        <v>138.12051958572917</v>
      </c>
      <c r="T260" s="167">
        <f t="shared" si="72"/>
        <v>207.18077937859371</v>
      </c>
      <c r="U260" s="168">
        <f t="shared" si="74"/>
        <v>0.5994019019141591</v>
      </c>
      <c r="V260" s="169">
        <f t="shared" si="73"/>
        <v>11.049641566858334</v>
      </c>
      <c r="W260" s="170">
        <f t="shared" si="69"/>
        <v>124.18455319958686</v>
      </c>
      <c r="X260" s="170">
        <f t="shared" si="70"/>
        <v>135.2341947664452</v>
      </c>
    </row>
    <row r="261" spans="18:25" x14ac:dyDescent="0.15">
      <c r="R261" s="166">
        <v>12</v>
      </c>
      <c r="S261" s="1">
        <f t="shared" si="71"/>
        <v>138.12051958572917</v>
      </c>
      <c r="T261" s="167">
        <f t="shared" si="72"/>
        <v>207.18077937859371</v>
      </c>
      <c r="U261" s="168">
        <f t="shared" si="74"/>
        <v>0.6028984130086581</v>
      </c>
      <c r="V261" s="169">
        <f t="shared" si="73"/>
        <v>11.049641566858334</v>
      </c>
      <c r="W261" s="170">
        <f t="shared" si="69"/>
        <v>124.90896309325106</v>
      </c>
      <c r="X261" s="170">
        <f t="shared" si="70"/>
        <v>135.95860466010939</v>
      </c>
    </row>
    <row r="262" spans="18:25" ht="16" x14ac:dyDescent="0.3">
      <c r="R262" s="198">
        <f>SUM(S262:T262)</f>
        <v>4143.615587571875</v>
      </c>
      <c r="S262" s="118">
        <f>IF($C$17&gt;=S247,SUM(S250:S261),"")</f>
        <v>1657.4462350287502</v>
      </c>
      <c r="T262" s="119">
        <f>IF($C$17&gt;=S247,SUM(T250:T261),"")</f>
        <v>2486.1693525431251</v>
      </c>
      <c r="U262" s="184">
        <f>IF(Y263="",0,AVERAGE(U250:U261))</f>
        <v>0.58403455941249682</v>
      </c>
      <c r="V262" s="120">
        <f>IF($C$17&gt;=S247,SUM(V250:V261),"")</f>
        <v>132.59569880229998</v>
      </c>
      <c r="W262" s="121">
        <f>IF($C$17&gt;=S247,SUM(W250:W261),"")</f>
        <v>1452.0088224373765</v>
      </c>
      <c r="X262" s="121">
        <f>IF($C$17&gt;=S247,SUM(X250:X261),"")</f>
        <v>1584.6045212396764</v>
      </c>
    </row>
    <row r="263" spans="18:25" x14ac:dyDescent="0.15">
      <c r="W263" s="156" t="s">
        <v>53</v>
      </c>
      <c r="X263" s="117">
        <f>IF(AND($D$38="Yes",$D$40+1=S247,$C$17&gt;=S247),$B$40,0)</f>
        <v>0</v>
      </c>
      <c r="Y263" s="142">
        <f>IF(X262="","",IF($D$38="No",X262,IF($D$38="Yes",X262-X263,X262)))</f>
        <v>1584.6045212396764</v>
      </c>
    </row>
    <row r="264" spans="18:25" ht="14" thickBot="1" x14ac:dyDescent="0.2"/>
    <row r="265" spans="18:25" ht="17" thickBot="1" x14ac:dyDescent="0.25">
      <c r="R265" s="126" t="s">
        <v>48</v>
      </c>
      <c r="S265" s="127">
        <v>12</v>
      </c>
      <c r="T265" s="154" t="s">
        <v>66</v>
      </c>
      <c r="U265" s="143">
        <f>U247-($C$36*U247)</f>
        <v>344.26539506742989</v>
      </c>
      <c r="V265" s="155" t="s">
        <v>68</v>
      </c>
      <c r="W265" s="185">
        <f>ROUND($C$25/12,15)</f>
        <v>5.8333333333329997E-3</v>
      </c>
      <c r="X265" s="161">
        <f>IF(X280="",0,(U265*12-(U265*12)*$C$36)/POWER(1+0,S265))</f>
        <v>4118.7911865867318</v>
      </c>
    </row>
    <row r="266" spans="18:25" x14ac:dyDescent="0.15">
      <c r="U266" s="182" t="s">
        <v>76</v>
      </c>
      <c r="V266" s="166">
        <f>IF(S265&lt;=$C$31,$C$29,IF(AND(S265&gt;$C$31,$B$34="Yes"),AVERAGE(U268:U279),$D$34))</f>
        <v>0.08</v>
      </c>
    </row>
    <row r="267" spans="18:25" x14ac:dyDescent="0.15">
      <c r="R267" s="122" t="s">
        <v>70</v>
      </c>
      <c r="S267" s="124">
        <f>$C$27</f>
        <v>0.4</v>
      </c>
      <c r="T267" s="125">
        <f>100%-$S267</f>
        <v>0.6</v>
      </c>
      <c r="U267" s="112" t="s">
        <v>72</v>
      </c>
      <c r="V267" s="115" t="s">
        <v>71</v>
      </c>
      <c r="W267" s="115" t="s">
        <v>67</v>
      </c>
      <c r="X267" s="116" t="s">
        <v>69</v>
      </c>
    </row>
    <row r="268" spans="18:25" x14ac:dyDescent="0.15">
      <c r="R268" s="166">
        <v>1</v>
      </c>
      <c r="S268" s="1">
        <f>$U$265*$C$27</f>
        <v>137.70615802697196</v>
      </c>
      <c r="T268" s="167">
        <f>$U$265*(100%-$C$27)</f>
        <v>206.55923704045793</v>
      </c>
      <c r="U268" s="168">
        <f>U261*(1+$W$265)</f>
        <v>0.60641532041787505</v>
      </c>
      <c r="V268" s="169">
        <f>S268*$V$266</f>
        <v>11.016492642157758</v>
      </c>
      <c r="W268" s="170">
        <f t="shared" ref="W268:W279" si="75">T268*U268</f>
        <v>125.2606859151611</v>
      </c>
      <c r="X268" s="170">
        <f t="shared" ref="X268:X279" si="76">W268+V268</f>
        <v>136.27717855731885</v>
      </c>
    </row>
    <row r="269" spans="18:25" x14ac:dyDescent="0.15">
      <c r="R269" s="166">
        <v>2</v>
      </c>
      <c r="S269" s="1">
        <f t="shared" ref="S269:S279" si="77">$U$265*$C$27</f>
        <v>137.70615802697196</v>
      </c>
      <c r="T269" s="167">
        <f t="shared" ref="T269:T279" si="78">$U$265*(100%-$C$27)</f>
        <v>206.55923704045793</v>
      </c>
      <c r="U269" s="168">
        <f>U268*(1+$W$265)</f>
        <v>0.60995274312031245</v>
      </c>
      <c r="V269" s="169">
        <f t="shared" ref="V269:V279" si="79">S269*$V$266</f>
        <v>11.016492642157758</v>
      </c>
      <c r="W269" s="170">
        <f t="shared" si="75"/>
        <v>125.99137324966617</v>
      </c>
      <c r="X269" s="170">
        <f t="shared" si="76"/>
        <v>137.00786589182394</v>
      </c>
    </row>
    <row r="270" spans="18:25" x14ac:dyDescent="0.15">
      <c r="R270" s="166">
        <v>3</v>
      </c>
      <c r="S270" s="1">
        <f t="shared" si="77"/>
        <v>137.70615802697196</v>
      </c>
      <c r="T270" s="167">
        <f t="shared" si="78"/>
        <v>206.55923704045793</v>
      </c>
      <c r="U270" s="168">
        <f t="shared" ref="U270:U279" si="80">U269*(1+$W$265)</f>
        <v>0.61351080078851405</v>
      </c>
      <c r="V270" s="169">
        <f t="shared" si="79"/>
        <v>11.016492642157758</v>
      </c>
      <c r="W270" s="170">
        <f t="shared" si="75"/>
        <v>126.72632292695585</v>
      </c>
      <c r="X270" s="170">
        <f t="shared" si="76"/>
        <v>137.74281556911359</v>
      </c>
    </row>
    <row r="271" spans="18:25" x14ac:dyDescent="0.15">
      <c r="R271" s="166">
        <v>4</v>
      </c>
      <c r="S271" s="1">
        <f t="shared" si="77"/>
        <v>137.70615802697196</v>
      </c>
      <c r="T271" s="167">
        <f t="shared" si="78"/>
        <v>206.55923704045793</v>
      </c>
      <c r="U271" s="168">
        <f t="shared" si="80"/>
        <v>0.61708961379311345</v>
      </c>
      <c r="V271" s="169">
        <f t="shared" si="79"/>
        <v>11.016492642157758</v>
      </c>
      <c r="W271" s="170">
        <f t="shared" si="75"/>
        <v>127.46555981069636</v>
      </c>
      <c r="X271" s="170">
        <f t="shared" si="76"/>
        <v>138.48205245285413</v>
      </c>
    </row>
    <row r="272" spans="18:25" x14ac:dyDescent="0.15">
      <c r="R272" s="166">
        <v>5</v>
      </c>
      <c r="S272" s="1">
        <f t="shared" si="77"/>
        <v>137.70615802697196</v>
      </c>
      <c r="T272" s="167">
        <f t="shared" si="78"/>
        <v>206.55923704045793</v>
      </c>
      <c r="U272" s="168">
        <f t="shared" si="80"/>
        <v>0.6206893032069063</v>
      </c>
      <c r="V272" s="169">
        <f t="shared" si="79"/>
        <v>11.016492642157758</v>
      </c>
      <c r="W272" s="170">
        <f t="shared" si="75"/>
        <v>128.20910890959203</v>
      </c>
      <c r="X272" s="170">
        <f t="shared" si="76"/>
        <v>139.22560155174978</v>
      </c>
    </row>
    <row r="273" spans="18:25" x14ac:dyDescent="0.15">
      <c r="R273" s="166">
        <v>6</v>
      </c>
      <c r="S273" s="1">
        <f t="shared" si="77"/>
        <v>137.70615802697196</v>
      </c>
      <c r="T273" s="167">
        <f t="shared" si="78"/>
        <v>206.55923704045793</v>
      </c>
      <c r="U273" s="168">
        <f t="shared" si="80"/>
        <v>0.62430999080894634</v>
      </c>
      <c r="V273" s="169">
        <f t="shared" si="79"/>
        <v>11.016492642157758</v>
      </c>
      <c r="W273" s="170">
        <f t="shared" si="75"/>
        <v>128.95699537823126</v>
      </c>
      <c r="X273" s="170">
        <f t="shared" si="76"/>
        <v>139.97348802038903</v>
      </c>
    </row>
    <row r="274" spans="18:25" x14ac:dyDescent="0.15">
      <c r="R274" s="166">
        <v>7</v>
      </c>
      <c r="S274" s="1">
        <f t="shared" si="77"/>
        <v>137.70615802697196</v>
      </c>
      <c r="T274" s="167">
        <f t="shared" si="78"/>
        <v>206.55923704045793</v>
      </c>
      <c r="U274" s="168">
        <f t="shared" si="80"/>
        <v>0.62795179908866494</v>
      </c>
      <c r="V274" s="169">
        <f t="shared" si="79"/>
        <v>11.016492642157758</v>
      </c>
      <c r="W274" s="170">
        <f t="shared" si="75"/>
        <v>129.70924451793755</v>
      </c>
      <c r="X274" s="170">
        <f t="shared" si="76"/>
        <v>140.72573716009532</v>
      </c>
    </row>
    <row r="275" spans="18:25" x14ac:dyDescent="0.15">
      <c r="R275" s="166">
        <v>8</v>
      </c>
      <c r="S275" s="1">
        <f t="shared" si="77"/>
        <v>137.70615802697196</v>
      </c>
      <c r="T275" s="167">
        <f t="shared" si="78"/>
        <v>206.55923704045793</v>
      </c>
      <c r="U275" s="168">
        <f t="shared" si="80"/>
        <v>0.63161485125001526</v>
      </c>
      <c r="V275" s="169">
        <f t="shared" si="79"/>
        <v>11.016492642157758</v>
      </c>
      <c r="W275" s="170">
        <f t="shared" si="75"/>
        <v>130.46588177762547</v>
      </c>
      <c r="X275" s="170">
        <f t="shared" si="76"/>
        <v>141.48237441978324</v>
      </c>
    </row>
    <row r="276" spans="18:25" x14ac:dyDescent="0.15">
      <c r="R276" s="166">
        <v>9</v>
      </c>
      <c r="S276" s="1">
        <f t="shared" si="77"/>
        <v>137.70615802697196</v>
      </c>
      <c r="T276" s="167">
        <f t="shared" si="78"/>
        <v>206.55923704045793</v>
      </c>
      <c r="U276" s="168">
        <f t="shared" si="80"/>
        <v>0.63529927121564012</v>
      </c>
      <c r="V276" s="169">
        <f t="shared" si="79"/>
        <v>11.016492642157758</v>
      </c>
      <c r="W276" s="170">
        <f t="shared" si="75"/>
        <v>131.22693275466159</v>
      </c>
      <c r="X276" s="170">
        <f t="shared" si="76"/>
        <v>142.24342539681936</v>
      </c>
    </row>
    <row r="277" spans="18:25" x14ac:dyDescent="0.15">
      <c r="R277" s="166">
        <v>10</v>
      </c>
      <c r="S277" s="1">
        <f t="shared" si="77"/>
        <v>137.70615802697196</v>
      </c>
      <c r="T277" s="167">
        <f t="shared" si="78"/>
        <v>206.55923704045793</v>
      </c>
      <c r="U277" s="168">
        <f t="shared" si="80"/>
        <v>0.6390051836310644</v>
      </c>
      <c r="V277" s="169">
        <f t="shared" si="79"/>
        <v>11.016492642157758</v>
      </c>
      <c r="W277" s="170">
        <f t="shared" si="75"/>
        <v>131.99242319573037</v>
      </c>
      <c r="X277" s="170">
        <f t="shared" si="76"/>
        <v>143.00891583788814</v>
      </c>
    </row>
    <row r="278" spans="18:25" x14ac:dyDescent="0.15">
      <c r="R278" s="166">
        <v>11</v>
      </c>
      <c r="S278" s="1">
        <f t="shared" si="77"/>
        <v>137.70615802697196</v>
      </c>
      <c r="T278" s="167">
        <f t="shared" si="78"/>
        <v>206.55923704045793</v>
      </c>
      <c r="U278" s="168">
        <f t="shared" si="80"/>
        <v>0.64273271386891195</v>
      </c>
      <c r="V278" s="169">
        <f t="shared" si="79"/>
        <v>11.016492642157758</v>
      </c>
      <c r="W278" s="170">
        <f t="shared" si="75"/>
        <v>132.76237899770541</v>
      </c>
      <c r="X278" s="170">
        <f t="shared" si="76"/>
        <v>143.77887163986315</v>
      </c>
    </row>
    <row r="279" spans="18:25" x14ac:dyDescent="0.15">
      <c r="R279" s="166">
        <v>12</v>
      </c>
      <c r="S279" s="1">
        <f t="shared" si="77"/>
        <v>137.70615802697196</v>
      </c>
      <c r="T279" s="167">
        <f t="shared" si="78"/>
        <v>206.55923704045793</v>
      </c>
      <c r="U279" s="168">
        <f t="shared" si="80"/>
        <v>0.64648198803314705</v>
      </c>
      <c r="V279" s="169">
        <f t="shared" si="79"/>
        <v>11.016492642157758</v>
      </c>
      <c r="W279" s="170">
        <f t="shared" si="75"/>
        <v>133.5368262085253</v>
      </c>
      <c r="X279" s="170">
        <f t="shared" si="76"/>
        <v>144.55331885068307</v>
      </c>
    </row>
    <row r="280" spans="18:25" ht="16" x14ac:dyDescent="0.3">
      <c r="R280" s="198">
        <f>SUM(S280:T280)</f>
        <v>4131.1847408091589</v>
      </c>
      <c r="S280" s="118">
        <f>IF($C$17&gt;=S265,SUM(S268:S279),"")</f>
        <v>1652.4738963236634</v>
      </c>
      <c r="T280" s="119">
        <f>IF($C$17&gt;=S265,SUM(T268:T279),"")</f>
        <v>2478.7108444854953</v>
      </c>
      <c r="U280" s="184">
        <f>IF(Y281="",0,AVERAGE(U268:U279))</f>
        <v>0.62625446493525927</v>
      </c>
      <c r="V280" s="120">
        <f>IF($C$17&gt;=S265,SUM(V268:V279),"")</f>
        <v>132.19791170589309</v>
      </c>
      <c r="W280" s="121">
        <f>IF($C$17&gt;=S265,SUM(W268:W279),"")</f>
        <v>1552.3037336424886</v>
      </c>
      <c r="X280" s="121">
        <f>IF($C$17&gt;=S265,SUM(X268:X279),"")</f>
        <v>1684.501645348382</v>
      </c>
    </row>
    <row r="281" spans="18:25" x14ac:dyDescent="0.15">
      <c r="W281" s="156" t="s">
        <v>53</v>
      </c>
      <c r="X281" s="117">
        <f>IF(AND($D$38="Yes",$D$40+1=S265,$C$17&gt;=S265),$B$40,0)</f>
        <v>0</v>
      </c>
      <c r="Y281" s="142">
        <f>IF(X280="","",IF($D$38="No",X280,IF($D$38="Yes",X280-X281,X280)))</f>
        <v>1684.501645348382</v>
      </c>
    </row>
    <row r="282" spans="18:25" ht="14" thickBot="1" x14ac:dyDescent="0.2"/>
    <row r="283" spans="18:25" ht="17" thickBot="1" x14ac:dyDescent="0.25">
      <c r="R283" s="126" t="s">
        <v>48</v>
      </c>
      <c r="S283" s="127">
        <v>13</v>
      </c>
      <c r="T283" s="154" t="s">
        <v>66</v>
      </c>
      <c r="U283" s="143">
        <f>U265-($C$36*U265)</f>
        <v>343.23259888222759</v>
      </c>
      <c r="V283" s="155" t="s">
        <v>68</v>
      </c>
      <c r="W283" s="185">
        <f>ROUND($C$25/12,15)</f>
        <v>5.8333333333329997E-3</v>
      </c>
      <c r="X283" s="161">
        <f>IF(X298="",0,(U283*12-(U283*12)*$C$36)/POWER(1+0,S283))</f>
        <v>4106.4348130269709</v>
      </c>
    </row>
    <row r="284" spans="18:25" x14ac:dyDescent="0.15">
      <c r="U284" s="182" t="s">
        <v>76</v>
      </c>
      <c r="V284" s="166">
        <f>IF(S283&lt;=$C$31,$C$29,IF(AND(S283&gt;$C$31,$B$34="Yes"),AVERAGE(U286:U297),$D$34))</f>
        <v>0.08</v>
      </c>
    </row>
    <row r="285" spans="18:25" x14ac:dyDescent="0.15">
      <c r="R285" s="122" t="s">
        <v>70</v>
      </c>
      <c r="S285" s="124">
        <f>$C$27</f>
        <v>0.4</v>
      </c>
      <c r="T285" s="125">
        <f>100%-$S285</f>
        <v>0.6</v>
      </c>
      <c r="U285" s="112" t="s">
        <v>72</v>
      </c>
      <c r="V285" s="115" t="s">
        <v>71</v>
      </c>
      <c r="W285" s="115" t="s">
        <v>67</v>
      </c>
      <c r="X285" s="116" t="s">
        <v>69</v>
      </c>
    </row>
    <row r="286" spans="18:25" x14ac:dyDescent="0.15">
      <c r="R286" s="166">
        <v>1</v>
      </c>
      <c r="S286" s="1">
        <f>$U$283*$C$27</f>
        <v>137.29303955289103</v>
      </c>
      <c r="T286" s="167">
        <f>$U$283*(100%-$C$27)</f>
        <v>205.93955932933656</v>
      </c>
      <c r="U286" s="168">
        <f>U279*(1+$W$283)</f>
        <v>0.65025313296334009</v>
      </c>
      <c r="V286" s="169">
        <f>S286*$V$284</f>
        <v>10.983443164231282</v>
      </c>
      <c r="W286" s="170">
        <f t="shared" ref="W286:W297" si="81">T286*U286</f>
        <v>133.91284365499075</v>
      </c>
      <c r="X286" s="170">
        <f t="shared" ref="X286:X297" si="82">W286+V286</f>
        <v>144.89628681922204</v>
      </c>
    </row>
    <row r="287" spans="18:25" x14ac:dyDescent="0.15">
      <c r="R287" s="166">
        <v>2</v>
      </c>
      <c r="S287" s="1">
        <f t="shared" ref="S287:S297" si="83">$U$283*$C$27</f>
        <v>137.29303955289103</v>
      </c>
      <c r="T287" s="167">
        <f t="shared" ref="T287:T297" si="84">$U$283*(100%-$C$27)</f>
        <v>205.93955932933656</v>
      </c>
      <c r="U287" s="168">
        <f>U286*(1+$W$283)</f>
        <v>0.65404627623895928</v>
      </c>
      <c r="V287" s="169">
        <f t="shared" ref="V287:V297" si="85">S287*$V$284</f>
        <v>10.983443164231282</v>
      </c>
      <c r="W287" s="170">
        <f t="shared" si="81"/>
        <v>134.69400190964481</v>
      </c>
      <c r="X287" s="170">
        <f t="shared" si="82"/>
        <v>145.6774450738761</v>
      </c>
    </row>
    <row r="288" spans="18:25" x14ac:dyDescent="0.15">
      <c r="R288" s="166">
        <v>3</v>
      </c>
      <c r="S288" s="1">
        <f t="shared" si="83"/>
        <v>137.29303955289103</v>
      </c>
      <c r="T288" s="167">
        <f t="shared" si="84"/>
        <v>205.93955932933656</v>
      </c>
      <c r="U288" s="168">
        <f t="shared" ref="U288:U297" si="86">U287*(1+$W$283)</f>
        <v>0.65786154618368631</v>
      </c>
      <c r="V288" s="169">
        <f t="shared" si="85"/>
        <v>10.983443164231282</v>
      </c>
      <c r="W288" s="170">
        <f t="shared" si="81"/>
        <v>135.47971692078434</v>
      </c>
      <c r="X288" s="170">
        <f t="shared" si="82"/>
        <v>146.46316008501563</v>
      </c>
    </row>
    <row r="289" spans="18:25" x14ac:dyDescent="0.15">
      <c r="R289" s="166">
        <v>4</v>
      </c>
      <c r="S289" s="1">
        <f t="shared" si="83"/>
        <v>137.29303955289103</v>
      </c>
      <c r="T289" s="167">
        <f t="shared" si="84"/>
        <v>205.93955932933656</v>
      </c>
      <c r="U289" s="168">
        <f t="shared" si="86"/>
        <v>0.66169907186975752</v>
      </c>
      <c r="V289" s="169">
        <f t="shared" si="85"/>
        <v>10.983443164231282</v>
      </c>
      <c r="W289" s="170">
        <f t="shared" si="81"/>
        <v>136.27001526948885</v>
      </c>
      <c r="X289" s="170">
        <f t="shared" si="82"/>
        <v>147.25345843372014</v>
      </c>
    </row>
    <row r="290" spans="18:25" x14ac:dyDescent="0.15">
      <c r="R290" s="166">
        <v>5</v>
      </c>
      <c r="S290" s="1">
        <f t="shared" si="83"/>
        <v>137.29303955289103</v>
      </c>
      <c r="T290" s="167">
        <f t="shared" si="84"/>
        <v>205.93955932933656</v>
      </c>
      <c r="U290" s="168">
        <f t="shared" si="86"/>
        <v>0.66555898312233086</v>
      </c>
      <c r="V290" s="169">
        <f t="shared" si="85"/>
        <v>10.983443164231282</v>
      </c>
      <c r="W290" s="170">
        <f t="shared" si="81"/>
        <v>137.06492369189417</v>
      </c>
      <c r="X290" s="170">
        <f t="shared" si="82"/>
        <v>148.04836685612545</v>
      </c>
    </row>
    <row r="291" spans="18:25" x14ac:dyDescent="0.15">
      <c r="R291" s="166">
        <v>6</v>
      </c>
      <c r="S291" s="1">
        <f t="shared" si="83"/>
        <v>137.29303955289103</v>
      </c>
      <c r="T291" s="167">
        <f t="shared" si="84"/>
        <v>205.93955932933656</v>
      </c>
      <c r="U291" s="168">
        <f t="shared" si="86"/>
        <v>0.66944141052387751</v>
      </c>
      <c r="V291" s="169">
        <f t="shared" si="85"/>
        <v>10.983443164231282</v>
      </c>
      <c r="W291" s="170">
        <f t="shared" si="81"/>
        <v>137.86446908009682</v>
      </c>
      <c r="X291" s="170">
        <f t="shared" si="82"/>
        <v>148.84791224432811</v>
      </c>
    </row>
    <row r="292" spans="18:25" x14ac:dyDescent="0.15">
      <c r="R292" s="166">
        <v>7</v>
      </c>
      <c r="S292" s="1">
        <f t="shared" si="83"/>
        <v>137.29303955289103</v>
      </c>
      <c r="T292" s="167">
        <f t="shared" si="84"/>
        <v>205.93955932933656</v>
      </c>
      <c r="U292" s="168">
        <f t="shared" si="86"/>
        <v>0.67334648541859987</v>
      </c>
      <c r="V292" s="169">
        <f t="shared" si="85"/>
        <v>10.983443164231282</v>
      </c>
      <c r="W292" s="170">
        <f t="shared" si="81"/>
        <v>138.66867848306401</v>
      </c>
      <c r="X292" s="170">
        <f t="shared" si="82"/>
        <v>149.6521216472953</v>
      </c>
    </row>
    <row r="293" spans="18:25" x14ac:dyDescent="0.15">
      <c r="R293" s="166">
        <v>8</v>
      </c>
      <c r="S293" s="1">
        <f t="shared" si="83"/>
        <v>137.29303955289103</v>
      </c>
      <c r="T293" s="167">
        <f t="shared" si="84"/>
        <v>205.93955932933656</v>
      </c>
      <c r="U293" s="168">
        <f t="shared" si="86"/>
        <v>0.6772743399168748</v>
      </c>
      <c r="V293" s="169">
        <f t="shared" si="85"/>
        <v>10.983443164231282</v>
      </c>
      <c r="W293" s="170">
        <f t="shared" si="81"/>
        <v>139.47757910754851</v>
      </c>
      <c r="X293" s="170">
        <f t="shared" si="82"/>
        <v>150.4610222717798</v>
      </c>
    </row>
    <row r="294" spans="18:25" x14ac:dyDescent="0.15">
      <c r="R294" s="166">
        <v>9</v>
      </c>
      <c r="S294" s="1">
        <f t="shared" si="83"/>
        <v>137.29303955289103</v>
      </c>
      <c r="T294" s="167">
        <f t="shared" si="84"/>
        <v>205.93955932933656</v>
      </c>
      <c r="U294" s="168">
        <f t="shared" si="86"/>
        <v>0.68122510689972293</v>
      </c>
      <c r="V294" s="169">
        <f t="shared" si="85"/>
        <v>10.983443164231282</v>
      </c>
      <c r="W294" s="170">
        <f t="shared" si="81"/>
        <v>140.29119831900914</v>
      </c>
      <c r="X294" s="170">
        <f t="shared" si="82"/>
        <v>151.27464148324043</v>
      </c>
    </row>
    <row r="295" spans="18:25" x14ac:dyDescent="0.15">
      <c r="R295" s="166">
        <v>10</v>
      </c>
      <c r="S295" s="1">
        <f t="shared" si="83"/>
        <v>137.29303955289103</v>
      </c>
      <c r="T295" s="167">
        <f t="shared" si="84"/>
        <v>205.93955932933656</v>
      </c>
      <c r="U295" s="168">
        <f t="shared" si="86"/>
        <v>0.6851989200233044</v>
      </c>
      <c r="V295" s="169">
        <f t="shared" si="85"/>
        <v>10.983443164231282</v>
      </c>
      <c r="W295" s="170">
        <f t="shared" si="81"/>
        <v>141.10956364253664</v>
      </c>
      <c r="X295" s="170">
        <f t="shared" si="82"/>
        <v>152.09300680676793</v>
      </c>
    </row>
    <row r="296" spans="18:25" x14ac:dyDescent="0.15">
      <c r="R296" s="166">
        <v>11</v>
      </c>
      <c r="S296" s="1">
        <f t="shared" si="83"/>
        <v>137.29303955289103</v>
      </c>
      <c r="T296" s="167">
        <f t="shared" si="84"/>
        <v>205.93955932933656</v>
      </c>
      <c r="U296" s="168">
        <f t="shared" si="86"/>
        <v>0.68919591372344002</v>
      </c>
      <c r="V296" s="169">
        <f t="shared" si="85"/>
        <v>10.983443164231282</v>
      </c>
      <c r="W296" s="170">
        <f t="shared" si="81"/>
        <v>141.9327027637847</v>
      </c>
      <c r="X296" s="170">
        <f t="shared" si="82"/>
        <v>152.91614592801599</v>
      </c>
    </row>
    <row r="297" spans="18:25" x14ac:dyDescent="0.15">
      <c r="R297" s="166">
        <v>12</v>
      </c>
      <c r="S297" s="1">
        <f t="shared" si="83"/>
        <v>137.29303955289103</v>
      </c>
      <c r="T297" s="167">
        <f t="shared" si="84"/>
        <v>205.93955932933656</v>
      </c>
      <c r="U297" s="168">
        <f t="shared" si="86"/>
        <v>0.69321622322015986</v>
      </c>
      <c r="V297" s="169">
        <f t="shared" si="85"/>
        <v>10.983443164231282</v>
      </c>
      <c r="W297" s="170">
        <f t="shared" si="81"/>
        <v>142.76064352990673</v>
      </c>
      <c r="X297" s="170">
        <f t="shared" si="82"/>
        <v>153.74408669413802</v>
      </c>
    </row>
    <row r="298" spans="18:25" ht="16" x14ac:dyDescent="0.3">
      <c r="R298" s="198">
        <f>SUM(S298:T298)</f>
        <v>4118.7911865867309</v>
      </c>
      <c r="S298" s="118">
        <f>IF($C$17&gt;=S283,SUM(S286:S297),"")</f>
        <v>1647.5164746346925</v>
      </c>
      <c r="T298" s="119">
        <f>IF($C$17&gt;=S283,SUM(T286:T297),"")</f>
        <v>2471.2747119520386</v>
      </c>
      <c r="U298" s="184">
        <f>IF(Y299="",0,AVERAGE(U286:U297))</f>
        <v>0.67152645084200435</v>
      </c>
      <c r="V298" s="120">
        <f>IF($C$17&gt;=S283,SUM(V286:V297),"")</f>
        <v>131.80131797077541</v>
      </c>
      <c r="W298" s="121">
        <f>IF($C$17&gt;=S283,SUM(W286:W297),"")</f>
        <v>1659.5263363727495</v>
      </c>
      <c r="X298" s="121">
        <f>IF($C$17&gt;=S283,SUM(X286:X297),"")</f>
        <v>1791.3276543435252</v>
      </c>
    </row>
    <row r="299" spans="18:25" x14ac:dyDescent="0.15">
      <c r="W299" s="156" t="s">
        <v>53</v>
      </c>
      <c r="X299" s="117">
        <f>IF(AND($D$38="Yes",$D$40+1=S283,$C$17&gt;=S283),$B$40,0)</f>
        <v>0</v>
      </c>
      <c r="Y299" s="142">
        <f>IF(X298="","",IF($D$38="No",X298,IF($D$38="Yes",X298-X299,X298)))</f>
        <v>1791.3276543435252</v>
      </c>
    </row>
    <row r="300" spans="18:25" ht="14" thickBot="1" x14ac:dyDescent="0.2"/>
    <row r="301" spans="18:25" ht="17" thickBot="1" x14ac:dyDescent="0.25">
      <c r="R301" s="126" t="s">
        <v>48</v>
      </c>
      <c r="S301" s="127">
        <v>14</v>
      </c>
      <c r="T301" s="154" t="s">
        <v>66</v>
      </c>
      <c r="U301" s="143">
        <f>U283-($C$36*U283)</f>
        <v>342.20290108558089</v>
      </c>
      <c r="V301" s="155" t="s">
        <v>68</v>
      </c>
      <c r="W301" s="185">
        <f>ROUND($C$25/12,15)</f>
        <v>5.8333333333329997E-3</v>
      </c>
      <c r="X301" s="161">
        <f>IF(X316="",0,(U301*12-(U301*12)*$C$36)/POWER(1+0,S301))</f>
        <v>4094.11550858789</v>
      </c>
    </row>
    <row r="302" spans="18:25" x14ac:dyDescent="0.15">
      <c r="U302" s="182" t="s">
        <v>76</v>
      </c>
      <c r="V302" s="166">
        <f>IF(S301&lt;=$C$31,$C$29,IF(AND(S301&gt;$C$31,$B$34="Yes"),AVERAGE(U304:U315),$D$34))</f>
        <v>0.08</v>
      </c>
    </row>
    <row r="303" spans="18:25" x14ac:dyDescent="0.15">
      <c r="R303" s="122" t="s">
        <v>70</v>
      </c>
      <c r="S303" s="124">
        <f>$C$27</f>
        <v>0.4</v>
      </c>
      <c r="T303" s="125">
        <f>100%-$S303</f>
        <v>0.6</v>
      </c>
      <c r="U303" s="112" t="s">
        <v>72</v>
      </c>
      <c r="V303" s="115" t="s">
        <v>71</v>
      </c>
      <c r="W303" s="115" t="s">
        <v>67</v>
      </c>
      <c r="X303" s="116" t="s">
        <v>69</v>
      </c>
    </row>
    <row r="304" spans="18:25" x14ac:dyDescent="0.15">
      <c r="R304" s="166">
        <v>1</v>
      </c>
      <c r="S304" s="1">
        <f>$U$301*$C$27</f>
        <v>136.88116043423236</v>
      </c>
      <c r="T304" s="167">
        <f>$U$301*(100%-$C$27)</f>
        <v>205.32174065134853</v>
      </c>
      <c r="U304" s="168">
        <f>U297*(1+$W$301)</f>
        <v>0.69725998452227711</v>
      </c>
      <c r="V304" s="169">
        <f>S304*$V$302</f>
        <v>10.950492834738588</v>
      </c>
      <c r="W304" s="170">
        <f t="shared" ref="W304:W315" si="87">T304*U304</f>
        <v>143.16263370864627</v>
      </c>
      <c r="X304" s="170">
        <f t="shared" ref="X304:X315" si="88">W304+V304</f>
        <v>154.11312654338485</v>
      </c>
    </row>
    <row r="305" spans="18:25" x14ac:dyDescent="0.15">
      <c r="R305" s="166">
        <v>2</v>
      </c>
      <c r="S305" s="1">
        <f t="shared" ref="S305:S315" si="89">$U$301*$C$27</f>
        <v>136.88116043423236</v>
      </c>
      <c r="T305" s="167">
        <f t="shared" ref="T305:T315" si="90">$U$301*(100%-$C$27)</f>
        <v>205.32174065134853</v>
      </c>
      <c r="U305" s="168">
        <f>U304*(1+$W$301)</f>
        <v>0.70132733443199013</v>
      </c>
      <c r="V305" s="169">
        <f t="shared" ref="V305:V315" si="91">S305*$V$302</f>
        <v>10.950492834738588</v>
      </c>
      <c r="W305" s="170">
        <f t="shared" si="87"/>
        <v>143.99774907194666</v>
      </c>
      <c r="X305" s="170">
        <f t="shared" si="88"/>
        <v>154.94824190668524</v>
      </c>
    </row>
    <row r="306" spans="18:25" x14ac:dyDescent="0.15">
      <c r="R306" s="166">
        <v>3</v>
      </c>
      <c r="S306" s="1">
        <f t="shared" si="89"/>
        <v>136.88116043423236</v>
      </c>
      <c r="T306" s="167">
        <f t="shared" si="90"/>
        <v>205.32174065134853</v>
      </c>
      <c r="U306" s="168">
        <f t="shared" ref="U306:U314" si="92">U305*(1+$W$301)</f>
        <v>0.70541841054950982</v>
      </c>
      <c r="V306" s="169">
        <f t="shared" si="91"/>
        <v>10.950492834738588</v>
      </c>
      <c r="W306" s="170">
        <f t="shared" si="87"/>
        <v>144.83773594153297</v>
      </c>
      <c r="X306" s="170">
        <f t="shared" si="88"/>
        <v>155.78822877627155</v>
      </c>
    </row>
    <row r="307" spans="18:25" x14ac:dyDescent="0.15">
      <c r="R307" s="166">
        <v>4</v>
      </c>
      <c r="S307" s="1">
        <f t="shared" si="89"/>
        <v>136.88116043423236</v>
      </c>
      <c r="T307" s="167">
        <f t="shared" si="90"/>
        <v>205.32174065134853</v>
      </c>
      <c r="U307" s="168">
        <f t="shared" si="92"/>
        <v>0.709533351277715</v>
      </c>
      <c r="V307" s="169">
        <f t="shared" si="91"/>
        <v>10.950492834738588</v>
      </c>
      <c r="W307" s="170">
        <f t="shared" si="87"/>
        <v>145.68262273452518</v>
      </c>
      <c r="X307" s="170">
        <f t="shared" si="88"/>
        <v>156.63311556926377</v>
      </c>
    </row>
    <row r="308" spans="18:25" x14ac:dyDescent="0.15">
      <c r="R308" s="166">
        <v>5</v>
      </c>
      <c r="S308" s="1">
        <f t="shared" si="89"/>
        <v>136.88116043423236</v>
      </c>
      <c r="T308" s="167">
        <f t="shared" si="90"/>
        <v>205.32174065134853</v>
      </c>
      <c r="U308" s="168">
        <f t="shared" si="92"/>
        <v>0.71367229582683467</v>
      </c>
      <c r="V308" s="169">
        <f t="shared" si="91"/>
        <v>10.950492834738588</v>
      </c>
      <c r="W308" s="170">
        <f t="shared" si="87"/>
        <v>146.53243803380983</v>
      </c>
      <c r="X308" s="170">
        <f t="shared" si="88"/>
        <v>157.48293086854841</v>
      </c>
    </row>
    <row r="309" spans="18:25" x14ac:dyDescent="0.15">
      <c r="R309" s="166">
        <v>6</v>
      </c>
      <c r="S309" s="1">
        <f t="shared" si="89"/>
        <v>136.88116043423236</v>
      </c>
      <c r="T309" s="167">
        <f t="shared" si="90"/>
        <v>205.32174065134853</v>
      </c>
      <c r="U309" s="168">
        <f t="shared" si="92"/>
        <v>0.7178353842191576</v>
      </c>
      <c r="V309" s="169">
        <f t="shared" si="91"/>
        <v>10.950492834738588</v>
      </c>
      <c r="W309" s="170">
        <f t="shared" si="87"/>
        <v>147.387210589007</v>
      </c>
      <c r="X309" s="170">
        <f t="shared" si="88"/>
        <v>158.33770342374558</v>
      </c>
    </row>
    <row r="310" spans="18:25" x14ac:dyDescent="0.15">
      <c r="R310" s="166">
        <v>7</v>
      </c>
      <c r="S310" s="1">
        <f t="shared" si="89"/>
        <v>136.88116043423236</v>
      </c>
      <c r="T310" s="167">
        <f t="shared" si="90"/>
        <v>205.32174065134853</v>
      </c>
      <c r="U310" s="168">
        <f t="shared" si="92"/>
        <v>0.72202275729376908</v>
      </c>
      <c r="V310" s="169">
        <f t="shared" si="91"/>
        <v>10.950492834738588</v>
      </c>
      <c r="W310" s="170">
        <f t="shared" si="87"/>
        <v>148.24696931744282</v>
      </c>
      <c r="X310" s="170">
        <f t="shared" si="88"/>
        <v>159.1974621521814</v>
      </c>
    </row>
    <row r="311" spans="18:25" x14ac:dyDescent="0.15">
      <c r="R311" s="166">
        <v>8</v>
      </c>
      <c r="S311" s="1">
        <f t="shared" si="89"/>
        <v>136.88116043423236</v>
      </c>
      <c r="T311" s="167">
        <f t="shared" si="90"/>
        <v>205.32174065134853</v>
      </c>
      <c r="U311" s="168">
        <f t="shared" si="92"/>
        <v>0.72623455671131576</v>
      </c>
      <c r="V311" s="169">
        <f t="shared" si="91"/>
        <v>10.950492834738588</v>
      </c>
      <c r="W311" s="170">
        <f t="shared" si="87"/>
        <v>149.11174330512785</v>
      </c>
      <c r="X311" s="170">
        <f t="shared" si="88"/>
        <v>160.06223613986643</v>
      </c>
    </row>
    <row r="312" spans="18:25" x14ac:dyDescent="0.15">
      <c r="R312" s="166">
        <v>9</v>
      </c>
      <c r="S312" s="1">
        <f t="shared" si="89"/>
        <v>136.88116043423236</v>
      </c>
      <c r="T312" s="167">
        <f t="shared" si="90"/>
        <v>205.32174065134853</v>
      </c>
      <c r="U312" s="168">
        <f t="shared" si="92"/>
        <v>0.73047092495879817</v>
      </c>
      <c r="V312" s="169">
        <f t="shared" si="91"/>
        <v>10.950492834738588</v>
      </c>
      <c r="W312" s="170">
        <f t="shared" si="87"/>
        <v>149.98156180774103</v>
      </c>
      <c r="X312" s="170">
        <f t="shared" si="88"/>
        <v>160.93205464247961</v>
      </c>
    </row>
    <row r="313" spans="18:25" x14ac:dyDescent="0.15">
      <c r="R313" s="166">
        <v>10</v>
      </c>
      <c r="S313" s="1">
        <f t="shared" si="89"/>
        <v>136.88116043423236</v>
      </c>
      <c r="T313" s="167">
        <f t="shared" si="90"/>
        <v>205.32174065134853</v>
      </c>
      <c r="U313" s="168">
        <f t="shared" si="92"/>
        <v>0.73473200535439087</v>
      </c>
      <c r="V313" s="169">
        <f t="shared" si="91"/>
        <v>10.950492834738588</v>
      </c>
      <c r="W313" s="170">
        <f t="shared" si="87"/>
        <v>150.85645425161945</v>
      </c>
      <c r="X313" s="170">
        <f t="shared" si="88"/>
        <v>161.80694708635804</v>
      </c>
    </row>
    <row r="314" spans="18:25" x14ac:dyDescent="0.15">
      <c r="R314" s="166">
        <v>11</v>
      </c>
      <c r="S314" s="1">
        <f t="shared" si="89"/>
        <v>136.88116043423236</v>
      </c>
      <c r="T314" s="167">
        <f t="shared" si="90"/>
        <v>205.32174065134853</v>
      </c>
      <c r="U314" s="168">
        <f t="shared" si="92"/>
        <v>0.73901794205229121</v>
      </c>
      <c r="V314" s="169">
        <f t="shared" si="91"/>
        <v>10.950492834738588</v>
      </c>
      <c r="W314" s="170">
        <f t="shared" si="87"/>
        <v>151.73645023475385</v>
      </c>
      <c r="X314" s="170">
        <f t="shared" si="88"/>
        <v>162.68694306949243</v>
      </c>
    </row>
    <row r="315" spans="18:25" x14ac:dyDescent="0.15">
      <c r="R315" s="166">
        <v>12</v>
      </c>
      <c r="S315" s="1">
        <f t="shared" si="89"/>
        <v>136.88116043423236</v>
      </c>
      <c r="T315" s="167">
        <f t="shared" si="90"/>
        <v>205.32174065134853</v>
      </c>
      <c r="U315" s="168">
        <f>U314*(1+$W$301)</f>
        <v>0.7433288800475959</v>
      </c>
      <c r="V315" s="169">
        <f t="shared" si="91"/>
        <v>10.950492834738588</v>
      </c>
      <c r="W315" s="170">
        <f t="shared" si="87"/>
        <v>152.62157952778986</v>
      </c>
      <c r="X315" s="170">
        <f t="shared" si="88"/>
        <v>163.57207236252844</v>
      </c>
    </row>
    <row r="316" spans="18:25" ht="16" x14ac:dyDescent="0.3">
      <c r="R316" s="198">
        <f>SUM(S316:T316)</f>
        <v>4106.43481302697</v>
      </c>
      <c r="S316" s="118">
        <f>IF($C$17&gt;=S301,SUM(S304:S315),"")</f>
        <v>1642.5739252107878</v>
      </c>
      <c r="T316" s="119">
        <f>IF($C$17&gt;=S301,SUM(T304:T315),"")</f>
        <v>2463.8608878161826</v>
      </c>
      <c r="U316" s="184">
        <f>IF(Y317="",0,AVERAGE(U304:U315))</f>
        <v>0.72007115227047047</v>
      </c>
      <c r="V316" s="120">
        <f>IF($C$17&gt;=S301,SUM(V304:V315),"")</f>
        <v>131.40591401686302</v>
      </c>
      <c r="W316" s="121">
        <f>IF($C$17&gt;=S301,SUM(W304:W315),"")</f>
        <v>1774.1551485239427</v>
      </c>
      <c r="X316" s="121">
        <f>IF($C$17&gt;=S301,SUM(X304:X315),"")</f>
        <v>1905.5610625408056</v>
      </c>
    </row>
    <row r="317" spans="18:25" x14ac:dyDescent="0.15">
      <c r="R317" s="171"/>
      <c r="W317" s="156" t="s">
        <v>53</v>
      </c>
      <c r="X317" s="117">
        <f>IF(AND($D$38="Yes",$D$40+1=S301,$C$17&gt;=S301),$B$40,0)</f>
        <v>0</v>
      </c>
      <c r="Y317" s="142">
        <f>IF(X316="","",IF($D$38="No",X316,IF($D$38="Yes",X316-X317,X316)))</f>
        <v>1905.5610625408056</v>
      </c>
    </row>
    <row r="318" spans="18:25" ht="14" thickBot="1" x14ac:dyDescent="0.2"/>
    <row r="319" spans="18:25" ht="17" thickBot="1" x14ac:dyDescent="0.25">
      <c r="R319" s="126" t="s">
        <v>48</v>
      </c>
      <c r="S319" s="127">
        <v>15</v>
      </c>
      <c r="T319" s="154" t="s">
        <v>66</v>
      </c>
      <c r="U319" s="143">
        <f>U301-($C$36*U301)</f>
        <v>341.17629238232416</v>
      </c>
      <c r="V319" s="155" t="s">
        <v>68</v>
      </c>
      <c r="W319" s="185">
        <f>ROUND($C$25/12,15)</f>
        <v>5.8333333333329997E-3</v>
      </c>
      <c r="X319" s="161">
        <f>IF(X334="",0,(U319*12-(U319*12)*$C$36)/POWER(1+0,S319))</f>
        <v>4081.8331620621261</v>
      </c>
    </row>
    <row r="320" spans="18:25" x14ac:dyDescent="0.15">
      <c r="U320" s="182" t="s">
        <v>76</v>
      </c>
      <c r="V320" s="166">
        <f>IF(S319&lt;=$C$31,$C$29,IF(AND(S319&gt;$C$31,$B$34="Yes"),AVERAGE(U322:U333),$D$34))</f>
        <v>0.08</v>
      </c>
    </row>
    <row r="321" spans="18:25" x14ac:dyDescent="0.15">
      <c r="R321" s="122" t="s">
        <v>70</v>
      </c>
      <c r="S321" s="124">
        <f>$C$27</f>
        <v>0.4</v>
      </c>
      <c r="T321" s="125">
        <f>100%-$S321</f>
        <v>0.6</v>
      </c>
      <c r="U321" s="112" t="s">
        <v>72</v>
      </c>
      <c r="V321" s="115" t="s">
        <v>71</v>
      </c>
      <c r="W321" s="115" t="s">
        <v>67</v>
      </c>
      <c r="X321" s="116" t="s">
        <v>69</v>
      </c>
    </row>
    <row r="322" spans="18:25" x14ac:dyDescent="0.15">
      <c r="R322" s="166">
        <v>1</v>
      </c>
      <c r="S322" s="1">
        <f>$U$319*$C$27</f>
        <v>136.47051695292967</v>
      </c>
      <c r="T322" s="167">
        <f>$U$319*(100%-$C$27)</f>
        <v>204.70577542939449</v>
      </c>
      <c r="U322" s="168">
        <f>U315*(1+$W$319)</f>
        <v>0.74766496518120651</v>
      </c>
      <c r="V322" s="169">
        <f>S322*$V$320</f>
        <v>10.917641356234373</v>
      </c>
      <c r="W322" s="170">
        <f t="shared" ref="W322:W333" si="93">T322*U322</f>
        <v>153.05133645881011</v>
      </c>
      <c r="X322" s="170">
        <f t="shared" ref="X322:X333" si="94">W322+V322</f>
        <v>163.9689778150445</v>
      </c>
    </row>
    <row r="323" spans="18:25" x14ac:dyDescent="0.15">
      <c r="R323" s="166">
        <v>2</v>
      </c>
      <c r="S323" s="1">
        <f t="shared" ref="S323:S333" si="95">$U$319*$C$27</f>
        <v>136.47051695292967</v>
      </c>
      <c r="T323" s="167">
        <f t="shared" ref="T323:T333" si="96">$U$319*(100%-$C$27)</f>
        <v>204.70577542939449</v>
      </c>
      <c r="U323" s="168">
        <f>U322*(1+$W$319)</f>
        <v>0.75202634414476321</v>
      </c>
      <c r="V323" s="169">
        <f t="shared" ref="V323:V333" si="97">S323*$V$320</f>
        <v>10.917641356234373</v>
      </c>
      <c r="W323" s="170">
        <f t="shared" si="93"/>
        <v>153.94413592148643</v>
      </c>
      <c r="X323" s="170">
        <f t="shared" si="94"/>
        <v>164.86177727772082</v>
      </c>
    </row>
    <row r="324" spans="18:25" x14ac:dyDescent="0.15">
      <c r="R324" s="166">
        <v>3</v>
      </c>
      <c r="S324" s="1">
        <f t="shared" si="95"/>
        <v>136.47051695292967</v>
      </c>
      <c r="T324" s="167">
        <f t="shared" si="96"/>
        <v>204.70577542939449</v>
      </c>
      <c r="U324" s="168">
        <f t="shared" ref="U324:U333" si="98">U323*(1+$W$319)</f>
        <v>0.75641316448560736</v>
      </c>
      <c r="V324" s="169">
        <f t="shared" si="97"/>
        <v>10.917641356234373</v>
      </c>
      <c r="W324" s="170">
        <f t="shared" si="93"/>
        <v>154.84214338102836</v>
      </c>
      <c r="X324" s="170">
        <f t="shared" si="94"/>
        <v>165.75978473726275</v>
      </c>
    </row>
    <row r="325" spans="18:25" x14ac:dyDescent="0.15">
      <c r="R325" s="166">
        <v>4</v>
      </c>
      <c r="S325" s="1">
        <f t="shared" si="95"/>
        <v>136.47051695292967</v>
      </c>
      <c r="T325" s="167">
        <f t="shared" si="96"/>
        <v>204.70577542939449</v>
      </c>
      <c r="U325" s="168">
        <f t="shared" si="98"/>
        <v>0.76082557461177314</v>
      </c>
      <c r="V325" s="169">
        <f t="shared" si="97"/>
        <v>10.917641356234373</v>
      </c>
      <c r="W325" s="170">
        <f t="shared" si="93"/>
        <v>155.74538921741765</v>
      </c>
      <c r="X325" s="170">
        <f t="shared" si="94"/>
        <v>166.66303057365204</v>
      </c>
    </row>
    <row r="326" spans="18:25" x14ac:dyDescent="0.15">
      <c r="R326" s="166">
        <v>5</v>
      </c>
      <c r="S326" s="1">
        <f t="shared" si="95"/>
        <v>136.47051695292967</v>
      </c>
      <c r="T326" s="167">
        <f t="shared" si="96"/>
        <v>204.70577542939449</v>
      </c>
      <c r="U326" s="168">
        <f t="shared" si="98"/>
        <v>0.76526372379700813</v>
      </c>
      <c r="V326" s="169">
        <f t="shared" si="97"/>
        <v>10.917641356234373</v>
      </c>
      <c r="W326" s="170">
        <f t="shared" si="93"/>
        <v>156.65390398785252</v>
      </c>
      <c r="X326" s="170">
        <f t="shared" si="94"/>
        <v>167.5715453440869</v>
      </c>
    </row>
    <row r="327" spans="18:25" x14ac:dyDescent="0.15">
      <c r="R327" s="166">
        <v>6</v>
      </c>
      <c r="S327" s="1">
        <f t="shared" si="95"/>
        <v>136.47051695292967</v>
      </c>
      <c r="T327" s="167">
        <f t="shared" si="96"/>
        <v>204.70577542939449</v>
      </c>
      <c r="U327" s="168">
        <f t="shared" si="98"/>
        <v>0.76972776218582373</v>
      </c>
      <c r="V327" s="169">
        <f t="shared" si="97"/>
        <v>10.917641356234373</v>
      </c>
      <c r="W327" s="170">
        <f t="shared" si="93"/>
        <v>157.56771842778161</v>
      </c>
      <c r="X327" s="170">
        <f t="shared" si="94"/>
        <v>168.485359784016</v>
      </c>
    </row>
    <row r="328" spans="18:25" x14ac:dyDescent="0.15">
      <c r="R328" s="166">
        <v>7</v>
      </c>
      <c r="S328" s="1">
        <f t="shared" si="95"/>
        <v>136.47051695292967</v>
      </c>
      <c r="T328" s="167">
        <f t="shared" si="96"/>
        <v>204.70577542939449</v>
      </c>
      <c r="U328" s="168">
        <f t="shared" si="98"/>
        <v>0.77421784079857403</v>
      </c>
      <c r="V328" s="169">
        <f t="shared" si="97"/>
        <v>10.917641356234373</v>
      </c>
      <c r="W328" s="170">
        <f t="shared" si="93"/>
        <v>158.48686345194361</v>
      </c>
      <c r="X328" s="170">
        <f t="shared" si="94"/>
        <v>169.40450480817799</v>
      </c>
    </row>
    <row r="329" spans="18:25" x14ac:dyDescent="0.15">
      <c r="R329" s="166">
        <v>8</v>
      </c>
      <c r="S329" s="1">
        <f t="shared" si="95"/>
        <v>136.47051695292967</v>
      </c>
      <c r="T329" s="167">
        <f t="shared" si="96"/>
        <v>204.70577542939449</v>
      </c>
      <c r="U329" s="168">
        <f t="shared" si="98"/>
        <v>0.77873411153656535</v>
      </c>
      <c r="V329" s="169">
        <f t="shared" si="97"/>
        <v>10.917641356234373</v>
      </c>
      <c r="W329" s="170">
        <f t="shared" si="93"/>
        <v>159.41137015541318</v>
      </c>
      <c r="X329" s="170">
        <f t="shared" si="94"/>
        <v>170.32901151164756</v>
      </c>
    </row>
    <row r="330" spans="18:25" x14ac:dyDescent="0.15">
      <c r="R330" s="166">
        <v>9</v>
      </c>
      <c r="S330" s="1">
        <f t="shared" si="95"/>
        <v>136.47051695292967</v>
      </c>
      <c r="T330" s="167">
        <f t="shared" si="96"/>
        <v>204.70577542939449</v>
      </c>
      <c r="U330" s="168">
        <f t="shared" si="98"/>
        <v>0.78327672718719499</v>
      </c>
      <c r="V330" s="169">
        <f t="shared" si="97"/>
        <v>10.917641356234373</v>
      </c>
      <c r="W330" s="170">
        <f t="shared" si="93"/>
        <v>160.34126981465303</v>
      </c>
      <c r="X330" s="170">
        <f t="shared" si="94"/>
        <v>171.25891117088742</v>
      </c>
    </row>
    <row r="331" spans="18:25" x14ac:dyDescent="0.15">
      <c r="R331" s="166">
        <v>10</v>
      </c>
      <c r="S331" s="1">
        <f t="shared" si="95"/>
        <v>136.47051695292967</v>
      </c>
      <c r="T331" s="167">
        <f t="shared" si="96"/>
        <v>204.70577542939449</v>
      </c>
      <c r="U331" s="168">
        <f t="shared" si="98"/>
        <v>0.78784584142911995</v>
      </c>
      <c r="V331" s="169">
        <f t="shared" si="97"/>
        <v>10.917641356234373</v>
      </c>
      <c r="W331" s="170">
        <f t="shared" si="93"/>
        <v>161.27659388857177</v>
      </c>
      <c r="X331" s="170">
        <f t="shared" si="94"/>
        <v>172.19423524480615</v>
      </c>
    </row>
    <row r="332" spans="18:25" x14ac:dyDescent="0.15">
      <c r="R332" s="166">
        <v>11</v>
      </c>
      <c r="S332" s="1">
        <f t="shared" si="95"/>
        <v>136.47051695292967</v>
      </c>
      <c r="T332" s="167">
        <f t="shared" si="96"/>
        <v>204.70577542939449</v>
      </c>
      <c r="U332" s="168">
        <f t="shared" si="98"/>
        <v>0.79244160883745618</v>
      </c>
      <c r="V332" s="169">
        <f t="shared" si="97"/>
        <v>10.917641356234373</v>
      </c>
      <c r="W332" s="170">
        <f t="shared" si="93"/>
        <v>162.21737401958839</v>
      </c>
      <c r="X332" s="170">
        <f t="shared" si="94"/>
        <v>173.13501537582277</v>
      </c>
    </row>
    <row r="333" spans="18:25" x14ac:dyDescent="0.15">
      <c r="R333" s="166">
        <v>12</v>
      </c>
      <c r="S333" s="1">
        <f t="shared" si="95"/>
        <v>136.47051695292967</v>
      </c>
      <c r="T333" s="167">
        <f t="shared" si="96"/>
        <v>204.70577542939449</v>
      </c>
      <c r="U333" s="168">
        <f t="shared" si="98"/>
        <v>0.79706418488900765</v>
      </c>
      <c r="V333" s="169">
        <f t="shared" si="97"/>
        <v>10.917641356234373</v>
      </c>
      <c r="W333" s="170">
        <f t="shared" si="93"/>
        <v>163.16364203470258</v>
      </c>
      <c r="X333" s="170">
        <f t="shared" si="94"/>
        <v>174.08128339093696</v>
      </c>
    </row>
    <row r="334" spans="18:25" ht="16" x14ac:dyDescent="0.3">
      <c r="R334" s="198">
        <f>SUM(S334:T334)</f>
        <v>4094.11550858789</v>
      </c>
      <c r="S334" s="118">
        <f>IF($C$17&gt;=S319,SUM(S322:S333),"")</f>
        <v>1637.6462034351564</v>
      </c>
      <c r="T334" s="119">
        <f>IF($C$17&gt;=S319,SUM(T322:T333),"")</f>
        <v>2456.4693051527338</v>
      </c>
      <c r="U334" s="184">
        <f>IF(Y335="",0,AVERAGE(U322:U333))</f>
        <v>0.77212515409034166</v>
      </c>
      <c r="V334" s="120">
        <f>IF($C$17&gt;=S319,SUM(V322:V333),"")</f>
        <v>131.01169627481246</v>
      </c>
      <c r="W334" s="121">
        <f>IF($C$17&gt;=S319,SUM(W322:W333),"")</f>
        <v>1896.7017407592493</v>
      </c>
      <c r="X334" s="121">
        <f>IF($C$17&gt;=S319,SUM(X322:X333),"")</f>
        <v>2027.7134370340618</v>
      </c>
    </row>
    <row r="335" spans="18:25" x14ac:dyDescent="0.15">
      <c r="W335" s="156" t="s">
        <v>53</v>
      </c>
      <c r="X335" s="117">
        <f>IF(AND($D$38="Yes",$D$40+1=S319,$C$17&gt;=S319),$B$40,0)</f>
        <v>0</v>
      </c>
      <c r="Y335" s="142">
        <f>IF(X334="","",IF($D$38="No",X334,IF($D$38="Yes",X334-X335,X334)))</f>
        <v>2027.7134370340618</v>
      </c>
    </row>
    <row r="336" spans="18:25" ht="14" thickBot="1" x14ac:dyDescent="0.2"/>
    <row r="337" spans="18:24" ht="17" thickBot="1" x14ac:dyDescent="0.25">
      <c r="R337" s="126" t="s">
        <v>48</v>
      </c>
      <c r="S337" s="127">
        <v>16</v>
      </c>
      <c r="T337" s="154" t="s">
        <v>66</v>
      </c>
      <c r="U337" s="143">
        <f>U319-($C$36*U319)</f>
        <v>340.15276350517718</v>
      </c>
      <c r="V337" s="155" t="s">
        <v>68</v>
      </c>
      <c r="W337" s="185">
        <f>ROUND($C$25/12,15)</f>
        <v>5.8333333333329997E-3</v>
      </c>
      <c r="X337" s="161">
        <f>IF(X352="",0,(U337*12-(U337*12)*$C$36)/POWER(1+0,S337))</f>
        <v>4069.5876625759397</v>
      </c>
    </row>
    <row r="338" spans="18:24" x14ac:dyDescent="0.15">
      <c r="U338" s="182" t="s">
        <v>76</v>
      </c>
      <c r="V338" s="166">
        <f>IF(S337&lt;=$C$31,$C$29,IF(AND(S337&gt;$C$31,$B$34="Yes"),AVERAGE(U340:U351),$D$34))</f>
        <v>0.08</v>
      </c>
    </row>
    <row r="339" spans="18:24" x14ac:dyDescent="0.15">
      <c r="R339" s="122" t="s">
        <v>70</v>
      </c>
      <c r="S339" s="124">
        <f>$C$27</f>
        <v>0.4</v>
      </c>
      <c r="T339" s="125">
        <f>100%-$S339</f>
        <v>0.6</v>
      </c>
      <c r="U339" s="112" t="s">
        <v>72</v>
      </c>
      <c r="V339" s="115" t="s">
        <v>71</v>
      </c>
      <c r="W339" s="115" t="s">
        <v>67</v>
      </c>
      <c r="X339" s="116" t="s">
        <v>69</v>
      </c>
    </row>
    <row r="340" spans="18:24" x14ac:dyDescent="0.15">
      <c r="R340" s="166">
        <v>1</v>
      </c>
      <c r="S340" s="1">
        <f>$U$337*$C$27</f>
        <v>136.06110540207087</v>
      </c>
      <c r="T340" s="167">
        <f>$U$337*(100%-$C$27)</f>
        <v>204.09165810310631</v>
      </c>
      <c r="U340" s="168">
        <f>U333*(1+$W$337)</f>
        <v>0.80171372596752655</v>
      </c>
      <c r="V340" s="169">
        <f>S340*$V$338</f>
        <v>10.884888432165669</v>
      </c>
      <c r="W340" s="170">
        <f t="shared" ref="W340:W351" si="99">T340*U340</f>
        <v>163.62308365673189</v>
      </c>
      <c r="X340" s="170">
        <f t="shared" ref="X340:X351" si="100">W340+V340</f>
        <v>174.50797208889756</v>
      </c>
    </row>
    <row r="341" spans="18:24" x14ac:dyDescent="0.15">
      <c r="R341" s="166">
        <v>2</v>
      </c>
      <c r="S341" s="1">
        <f t="shared" ref="S341:S351" si="101">$U$337*$C$27</f>
        <v>136.06110540207087</v>
      </c>
      <c r="T341" s="167">
        <f t="shared" ref="T341:T351" si="102">$U$337*(100%-$C$27)</f>
        <v>204.09165810310631</v>
      </c>
      <c r="U341" s="168">
        <f>U340*(1+$W$337)</f>
        <v>0.80639038936900342</v>
      </c>
      <c r="V341" s="169">
        <f t="shared" ref="V341:V351" si="103">S341*$V$338</f>
        <v>10.884888432165669</v>
      </c>
      <c r="W341" s="170">
        <f t="shared" si="99"/>
        <v>164.57755164472943</v>
      </c>
      <c r="X341" s="170">
        <f t="shared" si="100"/>
        <v>175.46244007689509</v>
      </c>
    </row>
    <row r="342" spans="18:24" x14ac:dyDescent="0.15">
      <c r="R342" s="166">
        <v>3</v>
      </c>
      <c r="S342" s="1">
        <f t="shared" si="101"/>
        <v>136.06110540207087</v>
      </c>
      <c r="T342" s="167">
        <f t="shared" si="102"/>
        <v>204.09165810310631</v>
      </c>
      <c r="U342" s="168">
        <f t="shared" ref="U342:U351" si="104">U341*(1+$W$337)</f>
        <v>0.81109433330698899</v>
      </c>
      <c r="V342" s="169">
        <f t="shared" si="103"/>
        <v>10.884888432165669</v>
      </c>
      <c r="W342" s="170">
        <f t="shared" si="99"/>
        <v>165.53758736265695</v>
      </c>
      <c r="X342" s="170">
        <f t="shared" si="100"/>
        <v>176.42247579482262</v>
      </c>
    </row>
    <row r="343" spans="18:24" x14ac:dyDescent="0.15">
      <c r="R343" s="166">
        <v>4</v>
      </c>
      <c r="S343" s="1">
        <f t="shared" si="101"/>
        <v>136.06110540207087</v>
      </c>
      <c r="T343" s="167">
        <f t="shared" si="102"/>
        <v>204.09165810310631</v>
      </c>
      <c r="U343" s="168">
        <f t="shared" si="104"/>
        <v>0.81582571691794603</v>
      </c>
      <c r="V343" s="169">
        <f t="shared" si="103"/>
        <v>10.884888432165669</v>
      </c>
      <c r="W343" s="170">
        <f t="shared" si="99"/>
        <v>166.50322328893904</v>
      </c>
      <c r="X343" s="170">
        <f t="shared" si="100"/>
        <v>177.38811172110471</v>
      </c>
    </row>
    <row r="344" spans="18:24" x14ac:dyDescent="0.15">
      <c r="R344" s="166">
        <v>5</v>
      </c>
      <c r="S344" s="1">
        <f t="shared" si="101"/>
        <v>136.06110540207087</v>
      </c>
      <c r="T344" s="167">
        <f t="shared" si="102"/>
        <v>204.09165810310631</v>
      </c>
      <c r="U344" s="168">
        <f t="shared" si="104"/>
        <v>0.82058470026663366</v>
      </c>
      <c r="V344" s="169">
        <f t="shared" si="103"/>
        <v>10.884888432165669</v>
      </c>
      <c r="W344" s="170">
        <f t="shared" si="99"/>
        <v>167.47449209145776</v>
      </c>
      <c r="X344" s="170">
        <f t="shared" si="100"/>
        <v>178.35938052362343</v>
      </c>
    </row>
    <row r="345" spans="18:24" x14ac:dyDescent="0.15">
      <c r="R345" s="166">
        <v>6</v>
      </c>
      <c r="S345" s="1">
        <f t="shared" si="101"/>
        <v>136.06110540207087</v>
      </c>
      <c r="T345" s="167">
        <f t="shared" si="102"/>
        <v>204.09165810310631</v>
      </c>
      <c r="U345" s="168">
        <f t="shared" si="104"/>
        <v>0.82537144435152199</v>
      </c>
      <c r="V345" s="169">
        <f t="shared" si="103"/>
        <v>10.884888432165669</v>
      </c>
      <c r="W345" s="170">
        <f t="shared" si="99"/>
        <v>168.45142662865786</v>
      </c>
      <c r="X345" s="170">
        <f t="shared" si="100"/>
        <v>179.33631506082352</v>
      </c>
    </row>
    <row r="346" spans="18:24" x14ac:dyDescent="0.15">
      <c r="R346" s="166">
        <v>7</v>
      </c>
      <c r="S346" s="1">
        <f t="shared" si="101"/>
        <v>136.06110540207087</v>
      </c>
      <c r="T346" s="167">
        <f t="shared" si="102"/>
        <v>204.09165810310631</v>
      </c>
      <c r="U346" s="168">
        <f t="shared" si="104"/>
        <v>0.83018611111023888</v>
      </c>
      <c r="V346" s="169">
        <f t="shared" si="103"/>
        <v>10.884888432165669</v>
      </c>
      <c r="W346" s="170">
        <f t="shared" si="99"/>
        <v>169.43405995065831</v>
      </c>
      <c r="X346" s="170">
        <f t="shared" si="100"/>
        <v>180.31894838282398</v>
      </c>
    </row>
    <row r="347" spans="18:24" x14ac:dyDescent="0.15">
      <c r="R347" s="166">
        <v>8</v>
      </c>
      <c r="S347" s="1">
        <f t="shared" si="101"/>
        <v>136.06110540207087</v>
      </c>
      <c r="T347" s="167">
        <f t="shared" si="102"/>
        <v>204.09165810310631</v>
      </c>
      <c r="U347" s="168">
        <f t="shared" si="104"/>
        <v>0.83502886342504823</v>
      </c>
      <c r="V347" s="169">
        <f t="shared" si="103"/>
        <v>10.884888432165669</v>
      </c>
      <c r="W347" s="170">
        <f t="shared" si="99"/>
        <v>170.42242530037041</v>
      </c>
      <c r="X347" s="170">
        <f t="shared" si="100"/>
        <v>181.30731373253607</v>
      </c>
    </row>
    <row r="348" spans="18:24" x14ac:dyDescent="0.15">
      <c r="R348" s="166">
        <v>9</v>
      </c>
      <c r="S348" s="1">
        <f t="shared" si="101"/>
        <v>136.06110540207087</v>
      </c>
      <c r="T348" s="167">
        <f t="shared" si="102"/>
        <v>204.09165810310631</v>
      </c>
      <c r="U348" s="168">
        <f t="shared" si="104"/>
        <v>0.83989986512836068</v>
      </c>
      <c r="V348" s="169">
        <f t="shared" si="103"/>
        <v>10.884888432165669</v>
      </c>
      <c r="W348" s="170">
        <f t="shared" si="99"/>
        <v>171.41655611462249</v>
      </c>
      <c r="X348" s="170">
        <f t="shared" si="100"/>
        <v>182.30144454678816</v>
      </c>
    </row>
    <row r="349" spans="18:24" x14ac:dyDescent="0.15">
      <c r="R349" s="166">
        <v>10</v>
      </c>
      <c r="S349" s="1">
        <f t="shared" si="101"/>
        <v>136.06110540207087</v>
      </c>
      <c r="T349" s="167">
        <f t="shared" si="102"/>
        <v>204.09165810310631</v>
      </c>
      <c r="U349" s="168">
        <f t="shared" si="104"/>
        <v>0.84479928100827573</v>
      </c>
      <c r="V349" s="169">
        <f t="shared" si="103"/>
        <v>10.884888432165669</v>
      </c>
      <c r="W349" s="170">
        <f t="shared" si="99"/>
        <v>172.41648602529105</v>
      </c>
      <c r="X349" s="170">
        <f t="shared" si="100"/>
        <v>183.30137445745672</v>
      </c>
    </row>
    <row r="350" spans="18:24" x14ac:dyDescent="0.15">
      <c r="R350" s="166">
        <v>11</v>
      </c>
      <c r="S350" s="1">
        <f t="shared" si="101"/>
        <v>136.06110540207087</v>
      </c>
      <c r="T350" s="167">
        <f t="shared" si="102"/>
        <v>204.09165810310631</v>
      </c>
      <c r="U350" s="168">
        <f t="shared" si="104"/>
        <v>0.84972727681415694</v>
      </c>
      <c r="V350" s="169">
        <f t="shared" si="103"/>
        <v>10.884888432165669</v>
      </c>
      <c r="W350" s="170">
        <f t="shared" si="99"/>
        <v>173.42224886043849</v>
      </c>
      <c r="X350" s="170">
        <f t="shared" si="100"/>
        <v>184.30713729260415</v>
      </c>
    </row>
    <row r="351" spans="18:24" x14ac:dyDescent="0.15">
      <c r="R351" s="166">
        <v>12</v>
      </c>
      <c r="S351" s="1">
        <f t="shared" si="101"/>
        <v>136.06110540207087</v>
      </c>
      <c r="T351" s="167">
        <f t="shared" si="102"/>
        <v>204.09165810310631</v>
      </c>
      <c r="U351" s="168">
        <f t="shared" si="104"/>
        <v>0.85468401926223914</v>
      </c>
      <c r="V351" s="169">
        <f t="shared" si="103"/>
        <v>10.884888432165669</v>
      </c>
      <c r="W351" s="170">
        <f t="shared" si="99"/>
        <v>174.43387864545764</v>
      </c>
      <c r="X351" s="170">
        <f t="shared" si="100"/>
        <v>185.31876707762331</v>
      </c>
    </row>
    <row r="352" spans="18:24" ht="16" x14ac:dyDescent="0.3">
      <c r="R352" s="198">
        <f>SUM(S352:T352)</f>
        <v>4081.8331620621257</v>
      </c>
      <c r="S352" s="118">
        <f>IF($C$17&gt;=S337,SUM(S340:S351),"")</f>
        <v>1632.73326482485</v>
      </c>
      <c r="T352" s="119">
        <f>IF($C$17&gt;=S337,SUM(T340:T351),"")</f>
        <v>2449.0998972372759</v>
      </c>
      <c r="U352" s="184">
        <f>IF(Y353="",0,AVERAGE(U340:U351))</f>
        <v>0.82794214391066168</v>
      </c>
      <c r="V352" s="120">
        <f>IF($C$17&gt;=S337,SUM(V340:V351),"")</f>
        <v>130.61866118598803</v>
      </c>
      <c r="W352" s="121">
        <f>IF($C$17&gt;=S337,SUM(W340:W351),"")</f>
        <v>2027.7130195700115</v>
      </c>
      <c r="X352" s="121">
        <f>IF($C$17&gt;=S337,SUM(X340:X351),"")</f>
        <v>2158.3316807559995</v>
      </c>
    </row>
    <row r="353" spans="18:25" x14ac:dyDescent="0.15">
      <c r="W353" s="156" t="s">
        <v>53</v>
      </c>
      <c r="X353" s="117">
        <f>IF(AND($D$38="Yes",$D$40+1=S337,$C$17&gt;=S337),$B$40,0)</f>
        <v>800</v>
      </c>
      <c r="Y353" s="142">
        <f>IF(X352="","",IF($D$38="No",X352,IF($D$38="Yes",X352-X353,X352)))</f>
        <v>1358.3316807559995</v>
      </c>
    </row>
    <row r="354" spans="18:25" ht="14" thickBot="1" x14ac:dyDescent="0.2"/>
    <row r="355" spans="18:25" ht="17" thickBot="1" x14ac:dyDescent="0.25">
      <c r="R355" s="126" t="s">
        <v>48</v>
      </c>
      <c r="S355" s="127">
        <v>17</v>
      </c>
      <c r="T355" s="154" t="s">
        <v>66</v>
      </c>
      <c r="U355" s="143">
        <f>U337-($C$36*U337)</f>
        <v>339.13230521466164</v>
      </c>
      <c r="V355" s="155" t="s">
        <v>68</v>
      </c>
      <c r="W355" s="185">
        <f>ROUND($C$25/12,15)</f>
        <v>5.8333333333329997E-3</v>
      </c>
      <c r="X355" s="161">
        <f>IF(X370="",0,(U355*12-(U355*12)*$C$36)/POWER(1+0,S355))</f>
        <v>4057.3788995882119</v>
      </c>
    </row>
    <row r="356" spans="18:25" x14ac:dyDescent="0.15">
      <c r="U356" s="182" t="s">
        <v>76</v>
      </c>
      <c r="V356" s="166">
        <f>IF(S355&lt;=$C$31,$C$29,IF(AND(S355&gt;$C$31,$B$34="Yes"),AVERAGE(U358:U369),$D$34))</f>
        <v>0.08</v>
      </c>
    </row>
    <row r="357" spans="18:25" x14ac:dyDescent="0.15">
      <c r="R357" s="122" t="s">
        <v>70</v>
      </c>
      <c r="S357" s="124">
        <f>$C$27</f>
        <v>0.4</v>
      </c>
      <c r="T357" s="125">
        <f>100%-$S357</f>
        <v>0.6</v>
      </c>
      <c r="U357" s="112" t="s">
        <v>72</v>
      </c>
      <c r="V357" s="115" t="s">
        <v>71</v>
      </c>
      <c r="W357" s="115" t="s">
        <v>67</v>
      </c>
      <c r="X357" s="116" t="s">
        <v>69</v>
      </c>
    </row>
    <row r="358" spans="18:25" x14ac:dyDescent="0.15">
      <c r="R358" s="166">
        <v>1</v>
      </c>
      <c r="S358" s="1">
        <f>$U$355*$C$27</f>
        <v>135.65292208586467</v>
      </c>
      <c r="T358" s="167">
        <f>$U$355*(100%-$C$27)</f>
        <v>203.47938312879697</v>
      </c>
      <c r="U358" s="168">
        <f>U351*(1+$W$355)</f>
        <v>0.85966967604126854</v>
      </c>
      <c r="V358" s="169">
        <f>S358*$V$356</f>
        <v>10.852233766869174</v>
      </c>
      <c r="W358" s="170">
        <f t="shared" ref="W358:W369" si="105">T358*U358</f>
        <v>174.92505537541004</v>
      </c>
      <c r="X358" s="170">
        <f t="shared" ref="X358:X369" si="106">W358+V358</f>
        <v>185.77728914227922</v>
      </c>
    </row>
    <row r="359" spans="18:25" x14ac:dyDescent="0.15">
      <c r="R359" s="166">
        <v>2</v>
      </c>
      <c r="S359" s="1">
        <f t="shared" ref="S359:S369" si="107">$U$355*$C$27</f>
        <v>135.65292208586467</v>
      </c>
      <c r="T359" s="167">
        <f t="shared" ref="T359:T369" si="108">$U$355*(100%-$C$27)</f>
        <v>203.47938312879697</v>
      </c>
      <c r="U359" s="168">
        <f>U358*(1+$W$355)</f>
        <v>0.86468441581817557</v>
      </c>
      <c r="V359" s="169">
        <f t="shared" ref="V359:V369" si="109">S359*$V$356</f>
        <v>10.852233766869174</v>
      </c>
      <c r="W359" s="170">
        <f t="shared" si="105"/>
        <v>175.94545153176654</v>
      </c>
      <c r="X359" s="170">
        <f t="shared" si="106"/>
        <v>186.79768529863571</v>
      </c>
    </row>
    <row r="360" spans="18:25" x14ac:dyDescent="0.15">
      <c r="R360" s="166">
        <v>3</v>
      </c>
      <c r="S360" s="1">
        <f t="shared" si="107"/>
        <v>135.65292208586467</v>
      </c>
      <c r="T360" s="167">
        <f t="shared" si="108"/>
        <v>203.47938312879697</v>
      </c>
      <c r="U360" s="168">
        <f t="shared" ref="U360:U369" si="110">U359*(1+$W$355)</f>
        <v>0.86972840824378128</v>
      </c>
      <c r="V360" s="169">
        <f t="shared" si="109"/>
        <v>10.852233766869174</v>
      </c>
      <c r="W360" s="170">
        <f t="shared" si="105"/>
        <v>176.97179999903511</v>
      </c>
      <c r="X360" s="170">
        <f t="shared" si="106"/>
        <v>187.82403376590429</v>
      </c>
    </row>
    <row r="361" spans="18:25" x14ac:dyDescent="0.15">
      <c r="R361" s="166">
        <v>4</v>
      </c>
      <c r="S361" s="1">
        <f t="shared" si="107"/>
        <v>135.65292208586467</v>
      </c>
      <c r="T361" s="167">
        <f t="shared" si="108"/>
        <v>203.47938312879697</v>
      </c>
      <c r="U361" s="168">
        <f t="shared" si="110"/>
        <v>0.87480182395853634</v>
      </c>
      <c r="V361" s="169">
        <f t="shared" si="109"/>
        <v>10.852233766869174</v>
      </c>
      <c r="W361" s="170">
        <f t="shared" si="105"/>
        <v>178.00413549902942</v>
      </c>
      <c r="X361" s="170">
        <f t="shared" si="106"/>
        <v>188.85636926589859</v>
      </c>
    </row>
    <row r="362" spans="18:25" x14ac:dyDescent="0.15">
      <c r="R362" s="166">
        <v>5</v>
      </c>
      <c r="S362" s="1">
        <f t="shared" si="107"/>
        <v>135.65292208586467</v>
      </c>
      <c r="T362" s="167">
        <f t="shared" si="108"/>
        <v>203.47938312879697</v>
      </c>
      <c r="U362" s="168">
        <f t="shared" si="110"/>
        <v>0.87990483459829405</v>
      </c>
      <c r="V362" s="169">
        <f t="shared" si="109"/>
        <v>10.852233766869174</v>
      </c>
      <c r="W362" s="170">
        <f t="shared" si="105"/>
        <v>179.042492956107</v>
      </c>
      <c r="X362" s="170">
        <f t="shared" si="106"/>
        <v>189.89472672297617</v>
      </c>
    </row>
    <row r="363" spans="18:25" x14ac:dyDescent="0.15">
      <c r="R363" s="166">
        <v>6</v>
      </c>
      <c r="S363" s="1">
        <f t="shared" si="107"/>
        <v>135.65292208586467</v>
      </c>
      <c r="T363" s="167">
        <f t="shared" si="108"/>
        <v>203.47938312879697</v>
      </c>
      <c r="U363" s="168">
        <f t="shared" si="110"/>
        <v>0.88503761280011706</v>
      </c>
      <c r="V363" s="169">
        <f t="shared" si="109"/>
        <v>10.852233766869174</v>
      </c>
      <c r="W363" s="170">
        <f t="shared" si="105"/>
        <v>180.08690749835088</v>
      </c>
      <c r="X363" s="170">
        <f t="shared" si="106"/>
        <v>190.93914126522006</v>
      </c>
    </row>
    <row r="364" spans="18:25" x14ac:dyDescent="0.15">
      <c r="R364" s="166">
        <v>7</v>
      </c>
      <c r="S364" s="1">
        <f t="shared" si="107"/>
        <v>135.65292208586467</v>
      </c>
      <c r="T364" s="167">
        <f t="shared" si="108"/>
        <v>203.47938312879697</v>
      </c>
      <c r="U364" s="168">
        <f t="shared" si="110"/>
        <v>0.89020033220811734</v>
      </c>
      <c r="V364" s="169">
        <f t="shared" si="109"/>
        <v>10.852233766869174</v>
      </c>
      <c r="W364" s="170">
        <f t="shared" si="105"/>
        <v>181.13741445875786</v>
      </c>
      <c r="X364" s="170">
        <f t="shared" si="106"/>
        <v>191.98964822562704</v>
      </c>
    </row>
    <row r="365" spans="18:25" x14ac:dyDescent="0.15">
      <c r="R365" s="166">
        <v>8</v>
      </c>
      <c r="S365" s="1">
        <f t="shared" si="107"/>
        <v>135.65292208586467</v>
      </c>
      <c r="T365" s="167">
        <f t="shared" si="108"/>
        <v>203.47938312879697</v>
      </c>
      <c r="U365" s="168">
        <f t="shared" si="110"/>
        <v>0.89539316747933095</v>
      </c>
      <c r="V365" s="169">
        <f t="shared" si="109"/>
        <v>10.852233766869174</v>
      </c>
      <c r="W365" s="170">
        <f t="shared" si="105"/>
        <v>182.19404937643387</v>
      </c>
      <c r="X365" s="170">
        <f t="shared" si="106"/>
        <v>193.04628314330304</v>
      </c>
    </row>
    <row r="366" spans="18:25" x14ac:dyDescent="0.15">
      <c r="R366" s="166">
        <v>9</v>
      </c>
      <c r="S366" s="1">
        <f t="shared" si="107"/>
        <v>135.65292208586467</v>
      </c>
      <c r="T366" s="167">
        <f t="shared" si="108"/>
        <v>203.47938312879697</v>
      </c>
      <c r="U366" s="168">
        <f t="shared" si="110"/>
        <v>0.90061629428962664</v>
      </c>
      <c r="V366" s="169">
        <f t="shared" si="109"/>
        <v>10.852233766869174</v>
      </c>
      <c r="W366" s="170">
        <f t="shared" si="105"/>
        <v>183.25684799779631</v>
      </c>
      <c r="X366" s="170">
        <f t="shared" si="106"/>
        <v>194.10908176466549</v>
      </c>
    </row>
    <row r="367" spans="18:25" x14ac:dyDescent="0.15">
      <c r="R367" s="166">
        <v>10</v>
      </c>
      <c r="S367" s="1">
        <f t="shared" si="107"/>
        <v>135.65292208586467</v>
      </c>
      <c r="T367" s="167">
        <f t="shared" si="108"/>
        <v>203.47938312879697</v>
      </c>
      <c r="U367" s="168">
        <f t="shared" si="110"/>
        <v>0.90586988933964907</v>
      </c>
      <c r="V367" s="169">
        <f t="shared" si="109"/>
        <v>10.852233766869174</v>
      </c>
      <c r="W367" s="170">
        <f t="shared" si="105"/>
        <v>184.32584627778337</v>
      </c>
      <c r="X367" s="170">
        <f t="shared" si="106"/>
        <v>195.17808004465255</v>
      </c>
    </row>
    <row r="368" spans="18:25" x14ac:dyDescent="0.15">
      <c r="R368" s="166">
        <v>11</v>
      </c>
      <c r="S368" s="1">
        <f t="shared" si="107"/>
        <v>135.65292208586467</v>
      </c>
      <c r="T368" s="167">
        <f t="shared" si="108"/>
        <v>203.47938312879697</v>
      </c>
      <c r="U368" s="168">
        <f t="shared" si="110"/>
        <v>0.91115413036079662</v>
      </c>
      <c r="V368" s="169">
        <f t="shared" si="109"/>
        <v>10.852233766869174</v>
      </c>
      <c r="W368" s="170">
        <f t="shared" si="105"/>
        <v>185.40108038107036</v>
      </c>
      <c r="X368" s="170">
        <f t="shared" si="106"/>
        <v>196.25331414793953</v>
      </c>
    </row>
    <row r="369" spans="18:25" x14ac:dyDescent="0.15">
      <c r="R369" s="166">
        <v>12</v>
      </c>
      <c r="S369" s="1">
        <f t="shared" si="107"/>
        <v>135.65292208586467</v>
      </c>
      <c r="T369" s="167">
        <f t="shared" si="108"/>
        <v>203.47938312879697</v>
      </c>
      <c r="U369" s="168">
        <f t="shared" si="110"/>
        <v>0.91646919612123423</v>
      </c>
      <c r="V369" s="169">
        <f t="shared" si="109"/>
        <v>10.852233766869174</v>
      </c>
      <c r="W369" s="170">
        <f t="shared" si="105"/>
        <v>186.48258668329319</v>
      </c>
      <c r="X369" s="170">
        <f t="shared" si="106"/>
        <v>197.33482045016237</v>
      </c>
    </row>
    <row r="370" spans="18:25" ht="16" x14ac:dyDescent="0.3">
      <c r="R370" s="198">
        <f>SUM(S370:T370)</f>
        <v>4069.5876625759402</v>
      </c>
      <c r="S370" s="118">
        <f>IF($C$17&gt;=S355,SUM(S358:S369),"")</f>
        <v>1627.8350650303762</v>
      </c>
      <c r="T370" s="119">
        <f>IF($C$17&gt;=S355,SUM(T358:T369),"")</f>
        <v>2441.7525975455642</v>
      </c>
      <c r="U370" s="184">
        <f>IF(Y371="",0,AVERAGE(U358:U369))</f>
        <v>0.887794148438244</v>
      </c>
      <c r="V370" s="120">
        <f>IF($C$17&gt;=S355,SUM(V358:V369),"")</f>
        <v>130.22680520243009</v>
      </c>
      <c r="W370" s="121">
        <f>IF($C$17&gt;=S355,SUM(W358:W369),"")</f>
        <v>2167.7736680348339</v>
      </c>
      <c r="X370" s="121">
        <f>IF($C$17&gt;=S355,SUM(X358:X369),"")</f>
        <v>2298.0004732372636</v>
      </c>
    </row>
    <row r="371" spans="18:25" x14ac:dyDescent="0.15">
      <c r="W371" s="156" t="s">
        <v>53</v>
      </c>
      <c r="X371" s="117">
        <f>IF(AND($D$38="Yes",$D$40+1=S355,$C$17&gt;=S355),$B$40,0)</f>
        <v>0</v>
      </c>
      <c r="Y371" s="142">
        <f>IF(X370="","",IF($D$38="No",X370,IF($D$38="Yes",X370-X371,X370)))</f>
        <v>2298.0004732372636</v>
      </c>
    </row>
    <row r="372" spans="18:25" ht="14" thickBot="1" x14ac:dyDescent="0.2"/>
    <row r="373" spans="18:25" ht="17" thickBot="1" x14ac:dyDescent="0.25">
      <c r="R373" s="126" t="s">
        <v>48</v>
      </c>
      <c r="S373" s="127">
        <v>18</v>
      </c>
      <c r="T373" s="154" t="s">
        <v>66</v>
      </c>
      <c r="U373" s="143">
        <f>U355-($C$36*U355)</f>
        <v>338.11490829901766</v>
      </c>
      <c r="V373" s="155" t="s">
        <v>68</v>
      </c>
      <c r="W373" s="185">
        <f>ROUND($C$25/12,15)</f>
        <v>5.8333333333329997E-3</v>
      </c>
      <c r="X373" s="161">
        <f>IF(X388="",0,(U373*12-(U373*12)*$C$36)/POWER(1+0,S373))</f>
        <v>4045.2067628894474</v>
      </c>
    </row>
    <row r="374" spans="18:25" x14ac:dyDescent="0.15">
      <c r="U374" s="182" t="s">
        <v>76</v>
      </c>
      <c r="V374" s="166">
        <f>IF(S373&lt;=$C$31,$C$29,IF(AND(S373&gt;$C$31,$B$34="Yes"),AVERAGE(U376:U387),$D$34))</f>
        <v>0.08</v>
      </c>
    </row>
    <row r="375" spans="18:25" x14ac:dyDescent="0.15">
      <c r="R375" s="122" t="s">
        <v>70</v>
      </c>
      <c r="S375" s="124">
        <f>$C$27</f>
        <v>0.4</v>
      </c>
      <c r="T375" s="125">
        <f>100%-$S375</f>
        <v>0.6</v>
      </c>
      <c r="U375" s="112" t="s">
        <v>72</v>
      </c>
      <c r="V375" s="115" t="s">
        <v>71</v>
      </c>
      <c r="W375" s="115" t="s">
        <v>67</v>
      </c>
      <c r="X375" s="116" t="s">
        <v>69</v>
      </c>
    </row>
    <row r="376" spans="18:25" x14ac:dyDescent="0.15">
      <c r="R376" s="166">
        <v>1</v>
      </c>
      <c r="S376" s="1">
        <f>$U$373*$C$27</f>
        <v>135.24596331960706</v>
      </c>
      <c r="T376" s="167">
        <f>$U$373*(100%-$C$27)</f>
        <v>202.8689449794106</v>
      </c>
      <c r="U376" s="168">
        <f>U369*(1+$W$373)</f>
        <v>0.92181526643194101</v>
      </c>
      <c r="V376" s="169">
        <f>S376*$V$374</f>
        <v>10.819677065568564</v>
      </c>
      <c r="W376" s="170">
        <f t="shared" ref="W376:W387" si="111">T376*U376</f>
        <v>187.00769056696217</v>
      </c>
      <c r="X376" s="170">
        <f t="shared" ref="X376:X387" si="112">W376+V376</f>
        <v>197.82736763253072</v>
      </c>
    </row>
    <row r="377" spans="18:25" x14ac:dyDescent="0.15">
      <c r="R377" s="166">
        <v>2</v>
      </c>
      <c r="S377" s="1">
        <f t="shared" ref="S377:S387" si="113">$U$373*$C$27</f>
        <v>135.24596331960706</v>
      </c>
      <c r="T377" s="167">
        <f t="shared" ref="T377:T387" si="114">$U$373*(100%-$C$27)</f>
        <v>202.8689449794106</v>
      </c>
      <c r="U377" s="168">
        <f>U376*(1+$W$373)</f>
        <v>0.92719252215279357</v>
      </c>
      <c r="V377" s="169">
        <f t="shared" ref="V377:V387" si="115">S377*$V$374</f>
        <v>10.819677065568564</v>
      </c>
      <c r="W377" s="170">
        <f t="shared" si="111"/>
        <v>188.09856876193604</v>
      </c>
      <c r="X377" s="170">
        <f t="shared" si="112"/>
        <v>198.91824582750459</v>
      </c>
    </row>
    <row r="378" spans="18:25" x14ac:dyDescent="0.15">
      <c r="R378" s="166">
        <v>3</v>
      </c>
      <c r="S378" s="1">
        <f t="shared" si="113"/>
        <v>135.24596331960706</v>
      </c>
      <c r="T378" s="167">
        <f t="shared" si="114"/>
        <v>202.8689449794106</v>
      </c>
      <c r="U378" s="168">
        <f t="shared" ref="U378:U387" si="116">U377*(1+$W$373)</f>
        <v>0.93260114519868453</v>
      </c>
      <c r="V378" s="169">
        <f t="shared" si="115"/>
        <v>10.819677065568564</v>
      </c>
      <c r="W378" s="170">
        <f t="shared" si="111"/>
        <v>189.19581041304724</v>
      </c>
      <c r="X378" s="170">
        <f t="shared" si="112"/>
        <v>200.0154874786158</v>
      </c>
    </row>
    <row r="379" spans="18:25" x14ac:dyDescent="0.15">
      <c r="R379" s="166">
        <v>4</v>
      </c>
      <c r="S379" s="1">
        <f t="shared" si="113"/>
        <v>135.24596331960706</v>
      </c>
      <c r="T379" s="167">
        <f t="shared" si="114"/>
        <v>202.8689449794106</v>
      </c>
      <c r="U379" s="168">
        <f t="shared" si="116"/>
        <v>0.93804131854567652</v>
      </c>
      <c r="V379" s="169">
        <f t="shared" si="115"/>
        <v>10.819677065568564</v>
      </c>
      <c r="W379" s="170">
        <f t="shared" si="111"/>
        <v>190.29945264045662</v>
      </c>
      <c r="X379" s="170">
        <f t="shared" si="112"/>
        <v>201.11912970602518</v>
      </c>
    </row>
    <row r="380" spans="18:25" x14ac:dyDescent="0.15">
      <c r="R380" s="166">
        <v>5</v>
      </c>
      <c r="S380" s="1">
        <f t="shared" si="113"/>
        <v>135.24596331960706</v>
      </c>
      <c r="T380" s="167">
        <f t="shared" si="114"/>
        <v>202.8689449794106</v>
      </c>
      <c r="U380" s="168">
        <f t="shared" si="116"/>
        <v>0.94351322623719258</v>
      </c>
      <c r="V380" s="169">
        <f t="shared" si="115"/>
        <v>10.819677065568564</v>
      </c>
      <c r="W380" s="170">
        <f t="shared" si="111"/>
        <v>191.40953278085919</v>
      </c>
      <c r="X380" s="170">
        <f t="shared" si="112"/>
        <v>202.22920984642775</v>
      </c>
    </row>
    <row r="381" spans="18:25" x14ac:dyDescent="0.15">
      <c r="R381" s="166">
        <v>6</v>
      </c>
      <c r="S381" s="1">
        <f t="shared" si="113"/>
        <v>135.24596331960706</v>
      </c>
      <c r="T381" s="167">
        <f t="shared" si="114"/>
        <v>202.8689449794106</v>
      </c>
      <c r="U381" s="168">
        <f t="shared" si="116"/>
        <v>0.94901705339024245</v>
      </c>
      <c r="V381" s="169">
        <f t="shared" si="115"/>
        <v>10.819677065568564</v>
      </c>
      <c r="W381" s="170">
        <f t="shared" si="111"/>
        <v>192.52608838874747</v>
      </c>
      <c r="X381" s="170">
        <f t="shared" si="112"/>
        <v>203.34576545431602</v>
      </c>
    </row>
    <row r="382" spans="18:25" x14ac:dyDescent="0.15">
      <c r="R382" s="166">
        <v>7</v>
      </c>
      <c r="S382" s="1">
        <f t="shared" si="113"/>
        <v>135.24596331960706</v>
      </c>
      <c r="T382" s="167">
        <f t="shared" si="114"/>
        <v>202.8689449794106</v>
      </c>
      <c r="U382" s="168">
        <f t="shared" si="116"/>
        <v>0.95455298620168516</v>
      </c>
      <c r="V382" s="169">
        <f t="shared" si="115"/>
        <v>10.819677065568564</v>
      </c>
      <c r="W382" s="170">
        <f t="shared" si="111"/>
        <v>193.64915723768175</v>
      </c>
      <c r="X382" s="170">
        <f t="shared" si="112"/>
        <v>204.4688343032503</v>
      </c>
    </row>
    <row r="383" spans="18:25" x14ac:dyDescent="0.15">
      <c r="R383" s="166">
        <v>8</v>
      </c>
      <c r="S383" s="1">
        <f t="shared" si="113"/>
        <v>135.24596331960706</v>
      </c>
      <c r="T383" s="167">
        <f t="shared" si="114"/>
        <v>202.8689449794106</v>
      </c>
      <c r="U383" s="168">
        <f t="shared" si="116"/>
        <v>0.96012121195452793</v>
      </c>
      <c r="V383" s="169">
        <f t="shared" si="115"/>
        <v>10.819677065568564</v>
      </c>
      <c r="W383" s="170">
        <f t="shared" si="111"/>
        <v>194.77877732156816</v>
      </c>
      <c r="X383" s="170">
        <f t="shared" si="112"/>
        <v>205.59845438713671</v>
      </c>
    </row>
    <row r="384" spans="18:25" x14ac:dyDescent="0.15">
      <c r="R384" s="166">
        <v>9</v>
      </c>
      <c r="S384" s="1">
        <f t="shared" si="113"/>
        <v>135.24596331960706</v>
      </c>
      <c r="T384" s="167">
        <f t="shared" si="114"/>
        <v>202.8689449794106</v>
      </c>
      <c r="U384" s="168">
        <f t="shared" si="116"/>
        <v>0.9657219190242623</v>
      </c>
      <c r="V384" s="169">
        <f t="shared" si="115"/>
        <v>10.819677065568564</v>
      </c>
      <c r="W384" s="170">
        <f t="shared" si="111"/>
        <v>195.91498685594388</v>
      </c>
      <c r="X384" s="170">
        <f t="shared" si="112"/>
        <v>206.73466392151244</v>
      </c>
    </row>
    <row r="385" spans="18:25" x14ac:dyDescent="0.15">
      <c r="R385" s="166">
        <v>10</v>
      </c>
      <c r="S385" s="1">
        <f t="shared" si="113"/>
        <v>135.24596331960706</v>
      </c>
      <c r="T385" s="167">
        <f t="shared" si="114"/>
        <v>202.8689449794106</v>
      </c>
      <c r="U385" s="168">
        <f t="shared" si="116"/>
        <v>0.97135529688523681</v>
      </c>
      <c r="V385" s="169">
        <f t="shared" si="115"/>
        <v>10.819677065568564</v>
      </c>
      <c r="W385" s="170">
        <f t="shared" si="111"/>
        <v>197.05782427927016</v>
      </c>
      <c r="X385" s="170">
        <f t="shared" si="112"/>
        <v>207.87750134483872</v>
      </c>
    </row>
    <row r="386" spans="18:25" x14ac:dyDescent="0.15">
      <c r="R386" s="166">
        <v>11</v>
      </c>
      <c r="S386" s="1">
        <f t="shared" si="113"/>
        <v>135.24596331960706</v>
      </c>
      <c r="T386" s="167">
        <f t="shared" si="114"/>
        <v>202.8689449794106</v>
      </c>
      <c r="U386" s="168">
        <f t="shared" si="116"/>
        <v>0.97702153611706699</v>
      </c>
      <c r="V386" s="169">
        <f t="shared" si="115"/>
        <v>10.819677065568564</v>
      </c>
      <c r="W386" s="170">
        <f t="shared" si="111"/>
        <v>198.20732825423249</v>
      </c>
      <c r="X386" s="170">
        <f t="shared" si="112"/>
        <v>209.02700531980105</v>
      </c>
    </row>
    <row r="387" spans="18:25" x14ac:dyDescent="0.15">
      <c r="R387" s="166">
        <v>12</v>
      </c>
      <c r="S387" s="1">
        <f t="shared" si="113"/>
        <v>135.24596331960706</v>
      </c>
      <c r="T387" s="167">
        <f t="shared" si="114"/>
        <v>202.8689449794106</v>
      </c>
      <c r="U387" s="168">
        <f t="shared" si="116"/>
        <v>0.98272082841108277</v>
      </c>
      <c r="V387" s="169">
        <f t="shared" si="115"/>
        <v>10.819677065568564</v>
      </c>
      <c r="W387" s="170">
        <f t="shared" si="111"/>
        <v>199.36353766904875</v>
      </c>
      <c r="X387" s="170">
        <f t="shared" si="112"/>
        <v>210.18321473461731</v>
      </c>
    </row>
    <row r="388" spans="18:25" ht="16" x14ac:dyDescent="0.3">
      <c r="R388" s="198">
        <f>SUM(S388:T388)</f>
        <v>4057.3788995882114</v>
      </c>
      <c r="S388" s="118">
        <f>IF($C$17&gt;=S373,SUM(S376:S387),"")</f>
        <v>1622.9515598352843</v>
      </c>
      <c r="T388" s="119">
        <f>IF($C$17&gt;=S373,SUM(T376:T387),"")</f>
        <v>2434.4273397529273</v>
      </c>
      <c r="U388" s="184">
        <f>IF(Y389="",0,AVERAGE(U376:U387))</f>
        <v>0.95197285921253283</v>
      </c>
      <c r="V388" s="120">
        <f>IF($C$17&gt;=S373,SUM(V376:V387),"")</f>
        <v>129.83612478682281</v>
      </c>
      <c r="W388" s="121">
        <f>IF($C$17&gt;=S373,SUM(W376:W387),"")</f>
        <v>2317.5087551697538</v>
      </c>
      <c r="X388" s="121">
        <f>IF($C$17&gt;=S373,SUM(X376:X387),"")</f>
        <v>2447.3448799565767</v>
      </c>
    </row>
    <row r="389" spans="18:25" x14ac:dyDescent="0.15">
      <c r="W389" s="156" t="s">
        <v>53</v>
      </c>
      <c r="X389" s="117">
        <f>IF(AND($D$38="Yes",$D$40+1=S373,$C$17&gt;=S373),$B$40,0)</f>
        <v>0</v>
      </c>
      <c r="Y389" s="142">
        <f>IF(X388="","",IF($D$38="No",X388,IF($D$38="Yes",X388-X389,X388)))</f>
        <v>2447.3448799565767</v>
      </c>
    </row>
    <row r="390" spans="18:25" ht="14" thickBot="1" x14ac:dyDescent="0.2"/>
    <row r="391" spans="18:25" ht="17" thickBot="1" x14ac:dyDescent="0.25">
      <c r="R391" s="126" t="s">
        <v>48</v>
      </c>
      <c r="S391" s="127">
        <v>19</v>
      </c>
      <c r="T391" s="154" t="s">
        <v>66</v>
      </c>
      <c r="U391" s="143">
        <f>U373-($C$36*U373)</f>
        <v>337.1005635741206</v>
      </c>
      <c r="V391" s="155" t="s">
        <v>68</v>
      </c>
      <c r="W391" s="185">
        <f>ROUND($C$25/12,15)</f>
        <v>5.8333333333329997E-3</v>
      </c>
      <c r="X391" s="161">
        <f>IF(X406="",0,(U391*12-(U391*12)*$C$36)/POWER(1+0,S391))</f>
        <v>4033.0711426007792</v>
      </c>
    </row>
    <row r="392" spans="18:25" x14ac:dyDescent="0.15">
      <c r="U392" s="182" t="s">
        <v>76</v>
      </c>
      <c r="V392" s="166">
        <f>IF(S391&lt;=$C$31,$C$29,IF(AND(S391&gt;$C$31,$B$34="Yes"),AVERAGE(U394:U405),$D$34))</f>
        <v>0.08</v>
      </c>
    </row>
    <row r="393" spans="18:25" x14ac:dyDescent="0.15">
      <c r="R393" s="122" t="s">
        <v>70</v>
      </c>
      <c r="S393" s="124">
        <f>$C$27</f>
        <v>0.4</v>
      </c>
      <c r="T393" s="125">
        <f>100%-$S393</f>
        <v>0.6</v>
      </c>
      <c r="U393" s="112" t="s">
        <v>72</v>
      </c>
      <c r="V393" s="115" t="s">
        <v>71</v>
      </c>
      <c r="W393" s="115" t="s">
        <v>67</v>
      </c>
      <c r="X393" s="116" t="s">
        <v>69</v>
      </c>
    </row>
    <row r="394" spans="18:25" x14ac:dyDescent="0.15">
      <c r="R394" s="166">
        <v>1</v>
      </c>
      <c r="S394" s="1">
        <f>$U$391*$C$27</f>
        <v>134.84022542964826</v>
      </c>
      <c r="T394" s="167">
        <f>$U$391*(100%-$C$27)</f>
        <v>202.26033814447234</v>
      </c>
      <c r="U394" s="168">
        <f>U387*(1+$W$391)</f>
        <v>0.98845336657681371</v>
      </c>
      <c r="V394" s="169">
        <f>S394*$V$392</f>
        <v>10.787218034371861</v>
      </c>
      <c r="W394" s="170">
        <f t="shared" ref="W394:W405" si="117">T394*U394</f>
        <v>199.92491216386841</v>
      </c>
      <c r="X394" s="170">
        <f t="shared" ref="X394:X405" si="118">W394+V394</f>
        <v>210.71213019824029</v>
      </c>
    </row>
    <row r="395" spans="18:25" x14ac:dyDescent="0.15">
      <c r="R395" s="166">
        <v>2</v>
      </c>
      <c r="S395" s="1">
        <f t="shared" ref="S395:S405" si="119">$U$391*$C$27</f>
        <v>134.84022542964826</v>
      </c>
      <c r="T395" s="167">
        <f t="shared" ref="T395:T405" si="120">$U$391*(100%-$C$27)</f>
        <v>202.26033814447234</v>
      </c>
      <c r="U395" s="168">
        <f>U394*(1+$W$391)</f>
        <v>0.99421934454851135</v>
      </c>
      <c r="V395" s="169">
        <f t="shared" ref="V395:V405" si="121">S395*$V$392</f>
        <v>10.787218034371861</v>
      </c>
      <c r="W395" s="170">
        <f t="shared" si="117"/>
        <v>201.09114081815756</v>
      </c>
      <c r="X395" s="170">
        <f t="shared" si="118"/>
        <v>211.8783588525294</v>
      </c>
    </row>
    <row r="396" spans="18:25" x14ac:dyDescent="0.15">
      <c r="R396" s="166">
        <v>3</v>
      </c>
      <c r="S396" s="1">
        <f t="shared" si="119"/>
        <v>134.84022542964826</v>
      </c>
      <c r="T396" s="167">
        <f t="shared" si="120"/>
        <v>202.26033814447234</v>
      </c>
      <c r="U396" s="168">
        <f t="shared" ref="U396:U405" si="122">U395*(1+$W$391)</f>
        <v>1.0000189573917107</v>
      </c>
      <c r="V396" s="169">
        <f t="shared" si="121"/>
        <v>10.787218034371861</v>
      </c>
      <c r="W396" s="170">
        <f t="shared" si="117"/>
        <v>202.26417247293008</v>
      </c>
      <c r="X396" s="170">
        <f t="shared" si="118"/>
        <v>213.05139050730196</v>
      </c>
    </row>
    <row r="397" spans="18:25" x14ac:dyDescent="0.15">
      <c r="R397" s="166">
        <v>4</v>
      </c>
      <c r="S397" s="1">
        <f t="shared" si="119"/>
        <v>134.84022542964826</v>
      </c>
      <c r="T397" s="167">
        <f t="shared" si="120"/>
        <v>202.26033814447234</v>
      </c>
      <c r="U397" s="168">
        <f t="shared" si="122"/>
        <v>1.0058524013098284</v>
      </c>
      <c r="V397" s="169">
        <f t="shared" si="121"/>
        <v>10.787218034371861</v>
      </c>
      <c r="W397" s="170">
        <f t="shared" si="117"/>
        <v>203.4440468123554</v>
      </c>
      <c r="X397" s="170">
        <f t="shared" si="118"/>
        <v>214.23126484672724</v>
      </c>
    </row>
    <row r="398" spans="18:25" x14ac:dyDescent="0.15">
      <c r="R398" s="166">
        <v>5</v>
      </c>
      <c r="S398" s="1">
        <f t="shared" si="119"/>
        <v>134.84022542964826</v>
      </c>
      <c r="T398" s="167">
        <f t="shared" si="120"/>
        <v>202.26033814447234</v>
      </c>
      <c r="U398" s="168">
        <f t="shared" si="122"/>
        <v>1.011719873650802</v>
      </c>
      <c r="V398" s="169">
        <f t="shared" si="121"/>
        <v>10.787218034371861</v>
      </c>
      <c r="W398" s="170">
        <f t="shared" si="117"/>
        <v>204.63080375209404</v>
      </c>
      <c r="X398" s="170">
        <f t="shared" si="118"/>
        <v>215.41802178646589</v>
      </c>
    </row>
    <row r="399" spans="18:25" x14ac:dyDescent="0.15">
      <c r="R399" s="166">
        <v>6</v>
      </c>
      <c r="S399" s="1">
        <f t="shared" si="119"/>
        <v>134.84022542964826</v>
      </c>
      <c r="T399" s="167">
        <f t="shared" si="120"/>
        <v>202.26033814447234</v>
      </c>
      <c r="U399" s="168">
        <f t="shared" si="122"/>
        <v>1.0176215729137645</v>
      </c>
      <c r="V399" s="169">
        <f t="shared" si="121"/>
        <v>10.787218034371861</v>
      </c>
      <c r="W399" s="170">
        <f t="shared" si="117"/>
        <v>205.82448344064784</v>
      </c>
      <c r="X399" s="170">
        <f t="shared" si="118"/>
        <v>216.61170147501969</v>
      </c>
    </row>
    <row r="400" spans="18:25" x14ac:dyDescent="0.15">
      <c r="R400" s="166">
        <v>7</v>
      </c>
      <c r="S400" s="1">
        <f t="shared" si="119"/>
        <v>134.84022542964826</v>
      </c>
      <c r="T400" s="167">
        <f t="shared" si="120"/>
        <v>202.26033814447234</v>
      </c>
      <c r="U400" s="168">
        <f t="shared" si="122"/>
        <v>1.0235576987557611</v>
      </c>
      <c r="V400" s="169">
        <f t="shared" si="121"/>
        <v>10.787218034371861</v>
      </c>
      <c r="W400" s="170">
        <f t="shared" si="117"/>
        <v>207.0251262607182</v>
      </c>
      <c r="X400" s="170">
        <f t="shared" si="118"/>
        <v>217.81234429509004</v>
      </c>
    </row>
    <row r="401" spans="18:25" x14ac:dyDescent="0.15">
      <c r="R401" s="166">
        <v>8</v>
      </c>
      <c r="S401" s="1">
        <f t="shared" si="119"/>
        <v>134.84022542964826</v>
      </c>
      <c r="T401" s="167">
        <f t="shared" si="120"/>
        <v>202.26033814447234</v>
      </c>
      <c r="U401" s="168">
        <f t="shared" si="122"/>
        <v>1.0295284519985026</v>
      </c>
      <c r="V401" s="169">
        <f t="shared" si="121"/>
        <v>10.787218034371861</v>
      </c>
      <c r="W401" s="170">
        <f t="shared" si="117"/>
        <v>208.23277283057232</v>
      </c>
      <c r="X401" s="170">
        <f t="shared" si="118"/>
        <v>219.01999086494419</v>
      </c>
    </row>
    <row r="402" spans="18:25" x14ac:dyDescent="0.15">
      <c r="R402" s="166">
        <v>9</v>
      </c>
      <c r="S402" s="1">
        <f t="shared" si="119"/>
        <v>134.84022542964826</v>
      </c>
      <c r="T402" s="167">
        <f t="shared" si="120"/>
        <v>202.26033814447234</v>
      </c>
      <c r="U402" s="168">
        <f t="shared" si="122"/>
        <v>1.03553403463516</v>
      </c>
      <c r="V402" s="169">
        <f t="shared" si="121"/>
        <v>10.787218034371861</v>
      </c>
      <c r="W402" s="170">
        <f t="shared" si="117"/>
        <v>209.4474640054172</v>
      </c>
      <c r="X402" s="170">
        <f t="shared" si="118"/>
        <v>220.23468203978905</v>
      </c>
    </row>
    <row r="403" spans="18:25" x14ac:dyDescent="0.15">
      <c r="R403" s="166">
        <v>10</v>
      </c>
      <c r="S403" s="1">
        <f t="shared" si="119"/>
        <v>134.84022542964826</v>
      </c>
      <c r="T403" s="167">
        <f t="shared" si="120"/>
        <v>202.26033814447234</v>
      </c>
      <c r="U403" s="168">
        <f t="shared" si="122"/>
        <v>1.0415746498371981</v>
      </c>
      <c r="V403" s="169">
        <f t="shared" si="121"/>
        <v>10.787218034371861</v>
      </c>
      <c r="W403" s="170">
        <f t="shared" si="117"/>
        <v>210.66924087878206</v>
      </c>
      <c r="X403" s="170">
        <f t="shared" si="118"/>
        <v>221.45645891315394</v>
      </c>
    </row>
    <row r="404" spans="18:25" x14ac:dyDescent="0.15">
      <c r="R404" s="166">
        <v>11</v>
      </c>
      <c r="S404" s="1">
        <f t="shared" si="119"/>
        <v>134.84022542964826</v>
      </c>
      <c r="T404" s="167">
        <f t="shared" si="120"/>
        <v>202.26033814447234</v>
      </c>
      <c r="U404" s="168">
        <f t="shared" si="122"/>
        <v>1.0476505019612479</v>
      </c>
      <c r="V404" s="169">
        <f t="shared" si="121"/>
        <v>10.787218034371861</v>
      </c>
      <c r="W404" s="170">
        <f t="shared" si="117"/>
        <v>211.89814478390818</v>
      </c>
      <c r="X404" s="170">
        <f t="shared" si="118"/>
        <v>222.68536281828005</v>
      </c>
    </row>
    <row r="405" spans="18:25" x14ac:dyDescent="0.15">
      <c r="R405" s="166">
        <v>12</v>
      </c>
      <c r="S405" s="1">
        <f t="shared" si="119"/>
        <v>134.84022542964826</v>
      </c>
      <c r="T405" s="167">
        <f t="shared" si="120"/>
        <v>202.26033814447234</v>
      </c>
      <c r="U405" s="168">
        <f t="shared" si="122"/>
        <v>1.0537617965560213</v>
      </c>
      <c r="V405" s="169">
        <f t="shared" si="121"/>
        <v>10.787218034371861</v>
      </c>
      <c r="W405" s="170">
        <f t="shared" si="117"/>
        <v>213.13421729514755</v>
      </c>
      <c r="X405" s="170">
        <f t="shared" si="118"/>
        <v>223.9214353295194</v>
      </c>
    </row>
    <row r="406" spans="18:25" ht="16" x14ac:dyDescent="0.3">
      <c r="R406" s="198">
        <f>SUM(S406:T406)</f>
        <v>4045.2067628894465</v>
      </c>
      <c r="S406" s="118">
        <f>IF($C$17&gt;=S391,SUM(S394:S405),"")</f>
        <v>1618.0827051557787</v>
      </c>
      <c r="T406" s="119">
        <f>IF($C$17&gt;=S391,SUM(T394:T405),"")</f>
        <v>2427.124057733668</v>
      </c>
      <c r="U406" s="184">
        <f>IF(Y407="",0,AVERAGE(U394:U405))</f>
        <v>1.0207910541779437</v>
      </c>
      <c r="V406" s="120">
        <f>IF($C$17&gt;=S391,SUM(V394:V405),"")</f>
        <v>129.44661641246233</v>
      </c>
      <c r="W406" s="121">
        <f>IF($C$17&gt;=S391,SUM(W394:W405),"")</f>
        <v>2477.5865255145991</v>
      </c>
      <c r="X406" s="121">
        <f>IF($C$17&gt;=S391,SUM(X394:X405),"")</f>
        <v>2607.0331419270615</v>
      </c>
    </row>
    <row r="407" spans="18:25" x14ac:dyDescent="0.15">
      <c r="W407" s="156" t="s">
        <v>53</v>
      </c>
      <c r="X407" s="117">
        <f>IF(AND($D$38="Yes",$D$40+1=S391,$C$17&gt;=S391),$B$40,0)</f>
        <v>0</v>
      </c>
      <c r="Y407" s="142">
        <f>IF(X406="","",IF($D$38="No",X406,IF($D$38="Yes",X406-X407,X406)))</f>
        <v>2607.0331419270615</v>
      </c>
    </row>
    <row r="408" spans="18:25" ht="14" thickBot="1" x14ac:dyDescent="0.2"/>
    <row r="409" spans="18:25" ht="17" thickBot="1" x14ac:dyDescent="0.25">
      <c r="R409" s="126" t="s">
        <v>48</v>
      </c>
      <c r="S409" s="127">
        <v>20</v>
      </c>
      <c r="T409" s="154" t="s">
        <v>66</v>
      </c>
      <c r="U409" s="174">
        <f>U391-($C$36*U391)</f>
        <v>336.08926188339825</v>
      </c>
      <c r="V409" s="155" t="s">
        <v>68</v>
      </c>
      <c r="W409" s="185">
        <f>ROUND($C$25/12,15)</f>
        <v>5.8333333333329997E-3</v>
      </c>
      <c r="X409" s="161">
        <f>IF(X424="",0,(U409*12-(U409*12)*$C$36)/POWER(1+0,S409))</f>
        <v>4020.9719291729771</v>
      </c>
    </row>
    <row r="410" spans="18:25" x14ac:dyDescent="0.15">
      <c r="U410" s="182" t="s">
        <v>76</v>
      </c>
      <c r="V410" s="166">
        <f>IF(S409&lt;=$C$31,$C$29,IF(AND(S409&gt;$C$31,$B$34="Yes"),AVERAGE(U412:U423),$D$34))</f>
        <v>0.08</v>
      </c>
    </row>
    <row r="411" spans="18:25" x14ac:dyDescent="0.15">
      <c r="R411" s="122" t="s">
        <v>70</v>
      </c>
      <c r="S411" s="124">
        <f>$C$27</f>
        <v>0.4</v>
      </c>
      <c r="T411" s="125">
        <f>100%-$S411</f>
        <v>0.6</v>
      </c>
      <c r="U411" s="112" t="s">
        <v>72</v>
      </c>
      <c r="V411" s="115" t="s">
        <v>71</v>
      </c>
      <c r="W411" s="115" t="s">
        <v>67</v>
      </c>
      <c r="X411" s="116" t="s">
        <v>69</v>
      </c>
    </row>
    <row r="412" spans="18:25" x14ac:dyDescent="0.15">
      <c r="R412" s="166">
        <v>1</v>
      </c>
      <c r="S412" s="1">
        <f>$U$409*$C$27</f>
        <v>134.43570475335932</v>
      </c>
      <c r="T412" s="167">
        <f>$U$409*(100%-$C$27)</f>
        <v>201.65355713003893</v>
      </c>
      <c r="U412" s="168">
        <f>U405*(1+$W$409)</f>
        <v>1.0599087403692644</v>
      </c>
      <c r="V412" s="169">
        <f>S412*$V$410</f>
        <v>10.754856380268746</v>
      </c>
      <c r="W412" s="170">
        <f t="shared" ref="W412:W423" si="123">T412*U412</f>
        <v>213.73436772868106</v>
      </c>
      <c r="X412" s="170">
        <f t="shared" ref="X412:X423" si="124">W412+V412</f>
        <v>224.4892241089498</v>
      </c>
    </row>
    <row r="413" spans="18:25" x14ac:dyDescent="0.15">
      <c r="R413" s="166">
        <v>2</v>
      </c>
      <c r="S413" s="1">
        <f t="shared" ref="S413:S423" si="125">$U$409*$C$27</f>
        <v>134.43570475335932</v>
      </c>
      <c r="T413" s="167">
        <f t="shared" ref="T413:T423" si="126">$U$409*(100%-$C$27)</f>
        <v>201.65355713003893</v>
      </c>
      <c r="U413" s="168">
        <f>U412*(1+$W$409)</f>
        <v>1.0660915413547514</v>
      </c>
      <c r="V413" s="169">
        <f t="shared" ref="V413:V423" si="127">S413*$V$410</f>
        <v>10.754856380268746</v>
      </c>
      <c r="W413" s="170">
        <f t="shared" si="123"/>
        <v>214.98115154043163</v>
      </c>
      <c r="X413" s="170">
        <f t="shared" si="124"/>
        <v>225.73600792070036</v>
      </c>
    </row>
    <row r="414" spans="18:25" x14ac:dyDescent="0.15">
      <c r="R414" s="166">
        <v>3</v>
      </c>
      <c r="S414" s="1">
        <f t="shared" si="125"/>
        <v>134.43570475335932</v>
      </c>
      <c r="T414" s="167">
        <f t="shared" si="126"/>
        <v>201.65355713003893</v>
      </c>
      <c r="U414" s="168">
        <f t="shared" ref="U414:U423" si="128">U413*(1+$W$409)</f>
        <v>1.0723104086793203</v>
      </c>
      <c r="V414" s="169">
        <f t="shared" si="127"/>
        <v>10.754856380268746</v>
      </c>
      <c r="W414" s="170">
        <f t="shared" si="123"/>
        <v>216.23520825775071</v>
      </c>
      <c r="X414" s="170">
        <f t="shared" si="124"/>
        <v>226.99006463801945</v>
      </c>
    </row>
    <row r="415" spans="18:25" x14ac:dyDescent="0.15">
      <c r="R415" s="166">
        <v>4</v>
      </c>
      <c r="S415" s="1">
        <f t="shared" si="125"/>
        <v>134.43570475335932</v>
      </c>
      <c r="T415" s="167">
        <f t="shared" si="126"/>
        <v>201.65355713003893</v>
      </c>
      <c r="U415" s="168">
        <f t="shared" si="128"/>
        <v>1.0785655527299491</v>
      </c>
      <c r="V415" s="169">
        <f t="shared" si="127"/>
        <v>10.754856380268746</v>
      </c>
      <c r="W415" s="170">
        <f t="shared" si="123"/>
        <v>217.49658030592082</v>
      </c>
      <c r="X415" s="170">
        <f t="shared" si="124"/>
        <v>228.25143668618955</v>
      </c>
    </row>
    <row r="416" spans="18:25" x14ac:dyDescent="0.15">
      <c r="R416" s="166">
        <v>5</v>
      </c>
      <c r="S416" s="1">
        <f t="shared" si="125"/>
        <v>134.43570475335932</v>
      </c>
      <c r="T416" s="167">
        <f t="shared" si="126"/>
        <v>201.65355713003893</v>
      </c>
      <c r="U416" s="168">
        <f t="shared" si="128"/>
        <v>1.0848571851208735</v>
      </c>
      <c r="V416" s="169">
        <f t="shared" si="127"/>
        <v>10.754856380268746</v>
      </c>
      <c r="W416" s="170">
        <f t="shared" si="123"/>
        <v>218.76531035770529</v>
      </c>
      <c r="X416" s="170">
        <f t="shared" si="124"/>
        <v>229.52016673797402</v>
      </c>
    </row>
    <row r="417" spans="18:25" x14ac:dyDescent="0.15">
      <c r="R417" s="166">
        <v>6</v>
      </c>
      <c r="S417" s="1">
        <f t="shared" si="125"/>
        <v>134.43570475335932</v>
      </c>
      <c r="T417" s="167">
        <f t="shared" si="126"/>
        <v>201.65355713003893</v>
      </c>
      <c r="U417" s="168">
        <f t="shared" si="128"/>
        <v>1.0911855187007449</v>
      </c>
      <c r="V417" s="169">
        <f t="shared" si="127"/>
        <v>10.754856380268746</v>
      </c>
      <c r="W417" s="170">
        <f t="shared" si="123"/>
        <v>220.04144133479181</v>
      </c>
      <c r="X417" s="170">
        <f t="shared" si="124"/>
        <v>230.79629771506055</v>
      </c>
    </row>
    <row r="418" spans="18:25" x14ac:dyDescent="0.15">
      <c r="R418" s="166">
        <v>7</v>
      </c>
      <c r="S418" s="1">
        <f t="shared" si="125"/>
        <v>134.43570475335932</v>
      </c>
      <c r="T418" s="167">
        <f t="shared" si="126"/>
        <v>201.65355713003893</v>
      </c>
      <c r="U418" s="168">
        <f t="shared" si="128"/>
        <v>1.0975507675598322</v>
      </c>
      <c r="V418" s="169">
        <f t="shared" si="127"/>
        <v>10.754856380268746</v>
      </c>
      <c r="W418" s="170">
        <f t="shared" si="123"/>
        <v>221.32501640924471</v>
      </c>
      <c r="X418" s="170">
        <f t="shared" si="124"/>
        <v>232.07987278951344</v>
      </c>
    </row>
    <row r="419" spans="18:25" x14ac:dyDescent="0.15">
      <c r="R419" s="166">
        <v>8</v>
      </c>
      <c r="S419" s="1">
        <f t="shared" si="125"/>
        <v>134.43570475335932</v>
      </c>
      <c r="T419" s="167">
        <f t="shared" si="126"/>
        <v>201.65355713003893</v>
      </c>
      <c r="U419" s="168">
        <f t="shared" si="128"/>
        <v>1.1039531470372641</v>
      </c>
      <c r="V419" s="169">
        <f t="shared" si="127"/>
        <v>10.754856380268746</v>
      </c>
      <c r="W419" s="170">
        <f t="shared" si="123"/>
        <v>222.6160790049652</v>
      </c>
      <c r="X419" s="170">
        <f t="shared" si="124"/>
        <v>233.37093538523393</v>
      </c>
    </row>
    <row r="420" spans="18:25" x14ac:dyDescent="0.15">
      <c r="R420" s="166">
        <v>9</v>
      </c>
      <c r="S420" s="1">
        <f t="shared" si="125"/>
        <v>134.43570475335932</v>
      </c>
      <c r="T420" s="167">
        <f t="shared" si="126"/>
        <v>201.65355713003893</v>
      </c>
      <c r="U420" s="168">
        <f t="shared" si="128"/>
        <v>1.1103928737283144</v>
      </c>
      <c r="V420" s="169">
        <f t="shared" si="127"/>
        <v>10.754856380268746</v>
      </c>
      <c r="W420" s="170">
        <f t="shared" si="123"/>
        <v>223.91467279916077</v>
      </c>
      <c r="X420" s="170">
        <f t="shared" si="124"/>
        <v>234.6695291794295</v>
      </c>
    </row>
    <row r="421" spans="18:25" x14ac:dyDescent="0.15">
      <c r="R421" s="166">
        <v>10</v>
      </c>
      <c r="S421" s="1">
        <f t="shared" si="125"/>
        <v>134.43570475335932</v>
      </c>
      <c r="T421" s="167">
        <f t="shared" si="126"/>
        <v>201.65355713003893</v>
      </c>
      <c r="U421" s="168">
        <f t="shared" si="128"/>
        <v>1.116870165491729</v>
      </c>
      <c r="V421" s="169">
        <f t="shared" si="127"/>
        <v>10.754856380268746</v>
      </c>
      <c r="W421" s="170">
        <f t="shared" si="123"/>
        <v>225.22084172382242</v>
      </c>
      <c r="X421" s="170">
        <f t="shared" si="124"/>
        <v>235.97569810409115</v>
      </c>
    </row>
    <row r="422" spans="18:25" x14ac:dyDescent="0.15">
      <c r="R422" s="166">
        <v>11</v>
      </c>
      <c r="S422" s="1">
        <f t="shared" si="125"/>
        <v>134.43570475335932</v>
      </c>
      <c r="T422" s="167">
        <f t="shared" si="126"/>
        <v>201.65355713003893</v>
      </c>
      <c r="U422" s="168">
        <f t="shared" si="128"/>
        <v>1.1233852414570971</v>
      </c>
      <c r="V422" s="169">
        <f t="shared" si="127"/>
        <v>10.754856380268746</v>
      </c>
      <c r="W422" s="170">
        <f t="shared" si="123"/>
        <v>226.53462996721132</v>
      </c>
      <c r="X422" s="170">
        <f t="shared" si="124"/>
        <v>237.28948634748005</v>
      </c>
    </row>
    <row r="423" spans="18:25" x14ac:dyDescent="0.15">
      <c r="R423" s="166">
        <v>12</v>
      </c>
      <c r="S423" s="1">
        <f t="shared" si="125"/>
        <v>134.43570475335932</v>
      </c>
      <c r="T423" s="167">
        <f t="shared" si="126"/>
        <v>201.65355713003893</v>
      </c>
      <c r="U423" s="168">
        <f t="shared" si="128"/>
        <v>1.129938322032263</v>
      </c>
      <c r="V423" s="169">
        <f t="shared" si="127"/>
        <v>10.754856380268746</v>
      </c>
      <c r="W423" s="170">
        <f t="shared" si="123"/>
        <v>227.85608197535328</v>
      </c>
      <c r="X423" s="170">
        <f t="shared" si="124"/>
        <v>238.61093835562201</v>
      </c>
    </row>
    <row r="424" spans="18:25" ht="16" x14ac:dyDescent="0.3">
      <c r="R424" s="198">
        <f>SUM(S424:T424)</f>
        <v>4033.0711426007783</v>
      </c>
      <c r="S424" s="118">
        <f>IF($C$17&gt;=S409,SUM(S412:S423),"")</f>
        <v>1613.2284570403115</v>
      </c>
      <c r="T424" s="119">
        <f>IF($C$17&gt;=S409,SUM(T412:T423),"")</f>
        <v>2419.8426855604671</v>
      </c>
      <c r="U424" s="184">
        <f>IF(Y425="",0,AVERAGE(U412:U423))</f>
        <v>1.0945841220217838</v>
      </c>
      <c r="V424" s="120">
        <f>IF($C$17&gt;=S409,SUM(V412:V423),"")</f>
        <v>129.05827656322495</v>
      </c>
      <c r="W424" s="121">
        <f>IF($C$17&gt;=S409,SUM(W412:W423),"")</f>
        <v>2648.7213814050397</v>
      </c>
      <c r="X424" s="121">
        <f>IF($C$17&gt;=S409,SUM(X412:X423),"")</f>
        <v>2777.7796579682636</v>
      </c>
    </row>
    <row r="425" spans="18:25" x14ac:dyDescent="0.15">
      <c r="W425" s="156" t="s">
        <v>53</v>
      </c>
      <c r="X425" s="117">
        <f>IF(AND($D$38="Yes",$D$40+1=S409,$C$17&gt;=S409),$B$40,0)</f>
        <v>0</v>
      </c>
      <c r="Y425" s="142">
        <f>IF(X424="","",IF($D$38="No",X424,IF($D$38="Yes",X424-X425,X424)))</f>
        <v>2777.7796579682636</v>
      </c>
    </row>
    <row r="426" spans="18:25" ht="14" thickBot="1" x14ac:dyDescent="0.2"/>
    <row r="427" spans="18:25" ht="17" thickBot="1" x14ac:dyDescent="0.25">
      <c r="R427" s="126" t="s">
        <v>48</v>
      </c>
      <c r="S427" s="127">
        <v>21</v>
      </c>
      <c r="T427" s="154" t="s">
        <v>66</v>
      </c>
      <c r="U427" s="143">
        <f>U409-($C$36*U409)</f>
        <v>335.08099409774803</v>
      </c>
      <c r="V427" s="155" t="s">
        <v>68</v>
      </c>
      <c r="W427" s="185">
        <f>ROUND($C$25/12,15)</f>
        <v>5.8333333333329997E-3</v>
      </c>
      <c r="X427" s="161">
        <f>IF(X442="",0,(U427*12-(U427*12)*$C$36)/POWER(1+0,S427))</f>
        <v>4008.9090133854575</v>
      </c>
    </row>
    <row r="428" spans="18:25" x14ac:dyDescent="0.15">
      <c r="U428" s="182" t="s">
        <v>76</v>
      </c>
      <c r="V428" s="166">
        <f>IF(S427&lt;=$C$31,$C$29,IF(AND(S427&gt;$C$31,$B$34="Yes"),AVERAGE(U430:U441),$D$34))</f>
        <v>0.08</v>
      </c>
    </row>
    <row r="429" spans="18:25" x14ac:dyDescent="0.15">
      <c r="R429" s="122" t="s">
        <v>70</v>
      </c>
      <c r="S429" s="124">
        <f>$C$27</f>
        <v>0.4</v>
      </c>
      <c r="T429" s="125">
        <f>100%-$S429</f>
        <v>0.6</v>
      </c>
      <c r="U429" s="112" t="s">
        <v>72</v>
      </c>
      <c r="V429" s="115" t="s">
        <v>71</v>
      </c>
      <c r="W429" s="115" t="s">
        <v>67</v>
      </c>
      <c r="X429" s="116" t="s">
        <v>69</v>
      </c>
    </row>
    <row r="430" spans="18:25" x14ac:dyDescent="0.15">
      <c r="R430" s="166">
        <v>1</v>
      </c>
      <c r="S430" s="1">
        <f>$U$427*$C$27</f>
        <v>134.03239763909923</v>
      </c>
      <c r="T430" s="167">
        <f>$U$427*(100%-$C$27)</f>
        <v>201.0485964586488</v>
      </c>
      <c r="U430" s="168">
        <f>U423*(1+$W$427)</f>
        <v>1.136529628910784</v>
      </c>
      <c r="V430" s="169">
        <f>S430*$V$428</f>
        <v>10.722591811127939</v>
      </c>
      <c r="W430" s="170">
        <f t="shared" ref="W430:W441" si="129">T430*U430</f>
        <v>228.49768672618208</v>
      </c>
      <c r="X430" s="170">
        <f t="shared" ref="X430:X441" si="130">W430+V430</f>
        <v>239.22027853731001</v>
      </c>
    </row>
    <row r="431" spans="18:25" x14ac:dyDescent="0.15">
      <c r="R431" s="166">
        <v>2</v>
      </c>
      <c r="S431" s="1">
        <f t="shared" ref="S431:S441" si="131">$U$427*$C$27</f>
        <v>134.03239763909923</v>
      </c>
      <c r="T431" s="167">
        <f t="shared" ref="T431:T441" si="132">$U$427*(100%-$C$27)</f>
        <v>201.0485964586488</v>
      </c>
      <c r="U431" s="168">
        <f>U430*(1+$W$427)</f>
        <v>1.1431593850794297</v>
      </c>
      <c r="V431" s="169">
        <f t="shared" ref="V431:V441" si="133">S431*$V$428</f>
        <v>10.722591811127939</v>
      </c>
      <c r="W431" s="170">
        <f t="shared" si="129"/>
        <v>229.83058989875138</v>
      </c>
      <c r="X431" s="170">
        <f t="shared" si="130"/>
        <v>240.55318170987931</v>
      </c>
    </row>
    <row r="432" spans="18:25" x14ac:dyDescent="0.15">
      <c r="R432" s="166">
        <v>3</v>
      </c>
      <c r="S432" s="1">
        <f t="shared" si="131"/>
        <v>134.03239763909923</v>
      </c>
      <c r="T432" s="167">
        <f t="shared" si="132"/>
        <v>201.0485964586488</v>
      </c>
      <c r="U432" s="168">
        <f t="shared" ref="U432:U441" si="134">U431*(1+$W$427)</f>
        <v>1.1498278148257259</v>
      </c>
      <c r="V432" s="169">
        <f t="shared" si="133"/>
        <v>10.722591811127939</v>
      </c>
      <c r="W432" s="170">
        <f t="shared" si="129"/>
        <v>231.17126833982732</v>
      </c>
      <c r="X432" s="170">
        <f t="shared" si="130"/>
        <v>241.89386015095525</v>
      </c>
    </row>
    <row r="433" spans="18:25" x14ac:dyDescent="0.15">
      <c r="R433" s="166">
        <v>4</v>
      </c>
      <c r="S433" s="1">
        <f t="shared" si="131"/>
        <v>134.03239763909923</v>
      </c>
      <c r="T433" s="167">
        <f t="shared" si="132"/>
        <v>201.0485964586488</v>
      </c>
      <c r="U433" s="168">
        <f t="shared" si="134"/>
        <v>1.1565351437455422</v>
      </c>
      <c r="V433" s="169">
        <f t="shared" si="133"/>
        <v>10.722591811127939</v>
      </c>
      <c r="W433" s="170">
        <f t="shared" si="129"/>
        <v>232.51976740514291</v>
      </c>
      <c r="X433" s="170">
        <f t="shared" si="130"/>
        <v>243.24235921627084</v>
      </c>
    </row>
    <row r="434" spans="18:25" x14ac:dyDescent="0.15">
      <c r="R434" s="166">
        <v>5</v>
      </c>
      <c r="S434" s="1">
        <f t="shared" si="131"/>
        <v>134.03239763909923</v>
      </c>
      <c r="T434" s="167">
        <f t="shared" si="132"/>
        <v>201.0485964586488</v>
      </c>
      <c r="U434" s="168">
        <f t="shared" si="134"/>
        <v>1.1632815987507241</v>
      </c>
      <c r="V434" s="169">
        <f t="shared" si="133"/>
        <v>10.722591811127939</v>
      </c>
      <c r="W434" s="170">
        <f t="shared" si="129"/>
        <v>233.87613271500615</v>
      </c>
      <c r="X434" s="170">
        <f t="shared" si="130"/>
        <v>244.59872452613408</v>
      </c>
    </row>
    <row r="435" spans="18:25" x14ac:dyDescent="0.15">
      <c r="R435" s="166">
        <v>6</v>
      </c>
      <c r="S435" s="1">
        <f t="shared" si="131"/>
        <v>134.03239763909923</v>
      </c>
      <c r="T435" s="167">
        <f t="shared" si="132"/>
        <v>201.0485964586488</v>
      </c>
      <c r="U435" s="168">
        <f t="shared" si="134"/>
        <v>1.1700674080767695</v>
      </c>
      <c r="V435" s="169">
        <f t="shared" si="133"/>
        <v>10.722591811127939</v>
      </c>
      <c r="W435" s="170">
        <f t="shared" si="129"/>
        <v>235.24041015584356</v>
      </c>
      <c r="X435" s="170">
        <f t="shared" si="130"/>
        <v>245.96300196697149</v>
      </c>
    </row>
    <row r="436" spans="18:25" x14ac:dyDescent="0.15">
      <c r="R436" s="166">
        <v>7</v>
      </c>
      <c r="S436" s="1">
        <f t="shared" si="131"/>
        <v>134.03239763909923</v>
      </c>
      <c r="T436" s="167">
        <f t="shared" si="132"/>
        <v>201.0485964586488</v>
      </c>
      <c r="U436" s="168">
        <f t="shared" si="134"/>
        <v>1.1768928012905502</v>
      </c>
      <c r="V436" s="169">
        <f t="shared" si="133"/>
        <v>10.722591811127939</v>
      </c>
      <c r="W436" s="170">
        <f t="shared" si="129"/>
        <v>236.61264588175257</v>
      </c>
      <c r="X436" s="170">
        <f t="shared" si="130"/>
        <v>247.3352376928805</v>
      </c>
    </row>
    <row r="437" spans="18:25" x14ac:dyDescent="0.15">
      <c r="R437" s="166">
        <v>8</v>
      </c>
      <c r="S437" s="1">
        <f t="shared" si="131"/>
        <v>134.03239763909923</v>
      </c>
      <c r="T437" s="167">
        <f t="shared" si="132"/>
        <v>201.0485964586488</v>
      </c>
      <c r="U437" s="168">
        <f t="shared" si="134"/>
        <v>1.183758009298078</v>
      </c>
      <c r="V437" s="169">
        <f t="shared" si="133"/>
        <v>10.722591811127939</v>
      </c>
      <c r="W437" s="170">
        <f t="shared" si="129"/>
        <v>237.99288631606271</v>
      </c>
      <c r="X437" s="170">
        <f t="shared" si="130"/>
        <v>248.71547812719064</v>
      </c>
    </row>
    <row r="438" spans="18:25" x14ac:dyDescent="0.15">
      <c r="R438" s="166">
        <v>9</v>
      </c>
      <c r="S438" s="1">
        <f t="shared" si="131"/>
        <v>134.03239763909923</v>
      </c>
      <c r="T438" s="167">
        <f t="shared" si="132"/>
        <v>201.0485964586488</v>
      </c>
      <c r="U438" s="168">
        <f t="shared" si="134"/>
        <v>1.1906632643523163</v>
      </c>
      <c r="V438" s="169">
        <f t="shared" si="133"/>
        <v>10.722591811127939</v>
      </c>
      <c r="W438" s="170">
        <f t="shared" si="129"/>
        <v>239.38117815290633</v>
      </c>
      <c r="X438" s="170">
        <f t="shared" si="130"/>
        <v>250.10376996403426</v>
      </c>
    </row>
    <row r="439" spans="18:25" x14ac:dyDescent="0.15">
      <c r="R439" s="166">
        <v>10</v>
      </c>
      <c r="S439" s="1">
        <f t="shared" si="131"/>
        <v>134.03239763909923</v>
      </c>
      <c r="T439" s="167">
        <f t="shared" si="132"/>
        <v>201.0485964586488</v>
      </c>
      <c r="U439" s="168">
        <f t="shared" si="134"/>
        <v>1.1976088000610376</v>
      </c>
      <c r="V439" s="169">
        <f t="shared" si="133"/>
        <v>10.722591811127939</v>
      </c>
      <c r="W439" s="170">
        <f t="shared" si="129"/>
        <v>240.77756835879816</v>
      </c>
      <c r="X439" s="170">
        <f t="shared" si="130"/>
        <v>251.50016016992609</v>
      </c>
    </row>
    <row r="440" spans="18:25" x14ac:dyDescent="0.15">
      <c r="R440" s="166">
        <v>11</v>
      </c>
      <c r="S440" s="1">
        <f t="shared" si="131"/>
        <v>134.03239763909923</v>
      </c>
      <c r="T440" s="167">
        <f t="shared" si="132"/>
        <v>201.0485964586488</v>
      </c>
      <c r="U440" s="168">
        <f t="shared" si="134"/>
        <v>1.2045948513947264</v>
      </c>
      <c r="V440" s="169">
        <f t="shared" si="133"/>
        <v>10.722591811127939</v>
      </c>
      <c r="W440" s="170">
        <f t="shared" si="129"/>
        <v>242.18210417422438</v>
      </c>
      <c r="X440" s="170">
        <f t="shared" si="130"/>
        <v>252.9046959853523</v>
      </c>
    </row>
    <row r="441" spans="18:25" x14ac:dyDescent="0.15">
      <c r="R441" s="166">
        <v>12</v>
      </c>
      <c r="S441" s="1">
        <f t="shared" si="131"/>
        <v>134.03239763909923</v>
      </c>
      <c r="T441" s="167">
        <f t="shared" si="132"/>
        <v>201.0485964586488</v>
      </c>
      <c r="U441" s="168">
        <f t="shared" si="134"/>
        <v>1.2116216546945284</v>
      </c>
      <c r="V441" s="169">
        <f t="shared" si="133"/>
        <v>10.722591811127939</v>
      </c>
      <c r="W441" s="170">
        <f t="shared" si="129"/>
        <v>243.59483311524056</v>
      </c>
      <c r="X441" s="170">
        <f t="shared" si="130"/>
        <v>254.31742492636849</v>
      </c>
    </row>
    <row r="442" spans="18:25" ht="16" x14ac:dyDescent="0.3">
      <c r="R442" s="198">
        <f>SUM(S442:T442)</f>
        <v>4020.9719291729753</v>
      </c>
      <c r="S442" s="118">
        <f>IF($C$17&gt;=S427,SUM(S430:S441),"")</f>
        <v>1608.3887716691904</v>
      </c>
      <c r="T442" s="119">
        <f>IF($C$17&gt;=S427,SUM(T430:T441),"")</f>
        <v>2412.5831575037851</v>
      </c>
      <c r="U442" s="184">
        <f>IF(Y443="",0,AVERAGE(U430:U441))</f>
        <v>1.1737116967066845</v>
      </c>
      <c r="V442" s="120">
        <f>IF($C$17&gt;=S427,SUM(V430:V441),"")</f>
        <v>128.67110173353527</v>
      </c>
      <c r="W442" s="121">
        <f>IF($C$17&gt;=S427,SUM(W430:W441),"")</f>
        <v>2831.6770712397383</v>
      </c>
      <c r="X442" s="121">
        <f>IF($C$17&gt;=S427,SUM(X430:X441),"")</f>
        <v>2960.348172973273</v>
      </c>
    </row>
    <row r="443" spans="18:25" x14ac:dyDescent="0.15">
      <c r="W443" s="156" t="s">
        <v>53</v>
      </c>
      <c r="X443" s="117">
        <f>IF(AND($D$38="Yes",$D$40+1=S427,$C$17&gt;=S427),$B$40,0)</f>
        <v>0</v>
      </c>
      <c r="Y443" s="142">
        <f>IF(X442="","",IF($D$38="No",X442,IF($D$38="Yes",X442-X443,X442)))</f>
        <v>2960.348172973273</v>
      </c>
    </row>
    <row r="444" spans="18:25" ht="14" thickBot="1" x14ac:dyDescent="0.2"/>
    <row r="445" spans="18:25" ht="17" thickBot="1" x14ac:dyDescent="0.25">
      <c r="R445" s="126" t="s">
        <v>48</v>
      </c>
      <c r="S445" s="127">
        <v>22</v>
      </c>
      <c r="T445" s="154" t="s">
        <v>66</v>
      </c>
      <c r="U445" s="143">
        <f>U427-($C$36*U427)</f>
        <v>334.07575111545481</v>
      </c>
      <c r="V445" s="155" t="s">
        <v>68</v>
      </c>
      <c r="W445" s="185">
        <f>ROUND($C$25/12,15)</f>
        <v>5.8333333333329997E-3</v>
      </c>
      <c r="X445" s="161">
        <f>IF(X460="",0,(U445*12-(U445*12)*$C$36)/POWER(1+0,S445))</f>
        <v>3996.8822863453015</v>
      </c>
    </row>
    <row r="446" spans="18:25" x14ac:dyDescent="0.15">
      <c r="U446" s="182" t="s">
        <v>76</v>
      </c>
      <c r="V446" s="166">
        <f>IF(S445&lt;=$C$31,$C$29,IF(AND(S445&gt;$C$31,$B$34="Yes"),AVERAGE(U448:U459),$D$34))</f>
        <v>0.08</v>
      </c>
    </row>
    <row r="447" spans="18:25" x14ac:dyDescent="0.15">
      <c r="R447" s="122" t="s">
        <v>70</v>
      </c>
      <c r="S447" s="124">
        <f>$C$27</f>
        <v>0.4</v>
      </c>
      <c r="T447" s="125">
        <f>100%-$S447</f>
        <v>0.6</v>
      </c>
      <c r="U447" s="112" t="s">
        <v>72</v>
      </c>
      <c r="V447" s="115" t="s">
        <v>71</v>
      </c>
      <c r="W447" s="115" t="s">
        <v>67</v>
      </c>
      <c r="X447" s="116" t="s">
        <v>69</v>
      </c>
    </row>
    <row r="448" spans="18:25" x14ac:dyDescent="0.15">
      <c r="R448" s="166">
        <v>1</v>
      </c>
      <c r="S448" s="1">
        <f>$U$445*$C$27</f>
        <v>133.63030044618193</v>
      </c>
      <c r="T448" s="167">
        <f>$U$445*(100%-$C$27)</f>
        <v>200.44545066927287</v>
      </c>
      <c r="U448" s="168">
        <f>U441*(1+$W$445)</f>
        <v>1.2186894476802459</v>
      </c>
      <c r="V448" s="169">
        <f>S448*$V$446</f>
        <v>10.690424035694555</v>
      </c>
      <c r="W448" s="170">
        <f t="shared" ref="W448:W459" si="135">T448*U448</f>
        <v>244.28075556615414</v>
      </c>
      <c r="X448" s="170">
        <f t="shared" ref="X448:X459" si="136">W448+V448</f>
        <v>254.97117960184869</v>
      </c>
    </row>
    <row r="449" spans="18:25" x14ac:dyDescent="0.15">
      <c r="R449" s="166">
        <v>2</v>
      </c>
      <c r="S449" s="1">
        <f t="shared" ref="S449:S459" si="137">$U$445*$C$27</f>
        <v>133.63030044618193</v>
      </c>
      <c r="T449" s="167">
        <f t="shared" ref="T449:T459" si="138">$U$445*(100%-$C$27)</f>
        <v>200.44545066927287</v>
      </c>
      <c r="U449" s="168">
        <f>U448*(1+$W$445)</f>
        <v>1.2257984694583801</v>
      </c>
      <c r="V449" s="169">
        <f t="shared" ref="V449:V459" si="139">S449*$V$446</f>
        <v>10.690424035694555</v>
      </c>
      <c r="W449" s="170">
        <f t="shared" si="135"/>
        <v>245.70572664028992</v>
      </c>
      <c r="X449" s="170">
        <f t="shared" si="136"/>
        <v>256.39615067598447</v>
      </c>
    </row>
    <row r="450" spans="18:25" x14ac:dyDescent="0.15">
      <c r="R450" s="166">
        <v>3</v>
      </c>
      <c r="S450" s="1">
        <f t="shared" si="137"/>
        <v>133.63030044618193</v>
      </c>
      <c r="T450" s="167">
        <f t="shared" si="138"/>
        <v>200.44545066927287</v>
      </c>
      <c r="U450" s="168">
        <f t="shared" ref="U450:U459" si="140">U449*(1+$W$445)</f>
        <v>1.2329489605302202</v>
      </c>
      <c r="V450" s="169">
        <f t="shared" si="139"/>
        <v>10.690424035694555</v>
      </c>
      <c r="W450" s="170">
        <f t="shared" si="135"/>
        <v>247.13901004569152</v>
      </c>
      <c r="X450" s="170">
        <f t="shared" si="136"/>
        <v>257.82943408138607</v>
      </c>
    </row>
    <row r="451" spans="18:25" x14ac:dyDescent="0.15">
      <c r="R451" s="166">
        <v>4</v>
      </c>
      <c r="S451" s="1">
        <f t="shared" si="137"/>
        <v>133.63030044618193</v>
      </c>
      <c r="T451" s="167">
        <f t="shared" si="138"/>
        <v>200.44545066927287</v>
      </c>
      <c r="U451" s="168">
        <f t="shared" si="140"/>
        <v>1.2401411627999792</v>
      </c>
      <c r="V451" s="169">
        <f t="shared" si="139"/>
        <v>10.690424035694555</v>
      </c>
      <c r="W451" s="170">
        <f t="shared" si="135"/>
        <v>248.58065427095792</v>
      </c>
      <c r="X451" s="170">
        <f t="shared" si="136"/>
        <v>259.2710783066525</v>
      </c>
    </row>
    <row r="452" spans="18:25" x14ac:dyDescent="0.15">
      <c r="R452" s="166">
        <v>5</v>
      </c>
      <c r="S452" s="1">
        <f t="shared" si="137"/>
        <v>133.63030044618193</v>
      </c>
      <c r="T452" s="167">
        <f t="shared" si="138"/>
        <v>200.44545066927287</v>
      </c>
      <c r="U452" s="168">
        <f t="shared" si="140"/>
        <v>1.2473753195829786</v>
      </c>
      <c r="V452" s="169">
        <f t="shared" si="139"/>
        <v>10.690424035694555</v>
      </c>
      <c r="W452" s="170">
        <f t="shared" si="135"/>
        <v>250.03070808753844</v>
      </c>
      <c r="X452" s="170">
        <f t="shared" si="136"/>
        <v>260.72113212323302</v>
      </c>
    </row>
    <row r="453" spans="18:25" x14ac:dyDescent="0.15">
      <c r="R453" s="166">
        <v>6</v>
      </c>
      <c r="S453" s="1">
        <f t="shared" si="137"/>
        <v>133.63030044618193</v>
      </c>
      <c r="T453" s="167">
        <f t="shared" si="138"/>
        <v>200.44545066927287</v>
      </c>
      <c r="U453" s="168">
        <f t="shared" si="140"/>
        <v>1.2546516756138788</v>
      </c>
      <c r="V453" s="169">
        <f t="shared" si="139"/>
        <v>10.690424035694555</v>
      </c>
      <c r="W453" s="170">
        <f t="shared" si="135"/>
        <v>251.48922055138229</v>
      </c>
      <c r="X453" s="170">
        <f t="shared" si="136"/>
        <v>262.17964458707684</v>
      </c>
    </row>
    <row r="454" spans="18:25" x14ac:dyDescent="0.15">
      <c r="R454" s="166">
        <v>7</v>
      </c>
      <c r="S454" s="1">
        <f t="shared" si="137"/>
        <v>133.63030044618193</v>
      </c>
      <c r="T454" s="167">
        <f t="shared" si="138"/>
        <v>200.44545066927287</v>
      </c>
      <c r="U454" s="168">
        <f t="shared" si="140"/>
        <v>1.2619704770549591</v>
      </c>
      <c r="V454" s="169">
        <f t="shared" si="139"/>
        <v>10.690424035694555</v>
      </c>
      <c r="W454" s="170">
        <f t="shared" si="135"/>
        <v>252.95624100459855</v>
      </c>
      <c r="X454" s="170">
        <f t="shared" si="136"/>
        <v>263.6466650402931</v>
      </c>
    </row>
    <row r="455" spans="18:25" x14ac:dyDescent="0.15">
      <c r="R455" s="166">
        <v>8</v>
      </c>
      <c r="S455" s="1">
        <f t="shared" si="137"/>
        <v>133.63030044618193</v>
      </c>
      <c r="T455" s="167">
        <f t="shared" si="138"/>
        <v>200.44545066927287</v>
      </c>
      <c r="U455" s="168">
        <f t="shared" si="140"/>
        <v>1.2693319715044458</v>
      </c>
      <c r="V455" s="169">
        <f t="shared" si="139"/>
        <v>10.690424035694555</v>
      </c>
      <c r="W455" s="170">
        <f t="shared" si="135"/>
        <v>254.43181907712525</v>
      </c>
      <c r="X455" s="170">
        <f t="shared" si="136"/>
        <v>265.12224311281983</v>
      </c>
    </row>
    <row r="456" spans="18:25" x14ac:dyDescent="0.15">
      <c r="R456" s="166">
        <v>9</v>
      </c>
      <c r="S456" s="1">
        <f t="shared" si="137"/>
        <v>133.63030044618193</v>
      </c>
      <c r="T456" s="167">
        <f t="shared" si="138"/>
        <v>200.44545066927287</v>
      </c>
      <c r="U456" s="168">
        <f t="shared" si="140"/>
        <v>1.2767364080048877</v>
      </c>
      <c r="V456" s="169">
        <f t="shared" si="139"/>
        <v>10.690424035694555</v>
      </c>
      <c r="W456" s="170">
        <f t="shared" si="135"/>
        <v>255.91600468840838</v>
      </c>
      <c r="X456" s="170">
        <f t="shared" si="136"/>
        <v>266.60642872410295</v>
      </c>
    </row>
    <row r="457" spans="18:25" x14ac:dyDescent="0.15">
      <c r="R457" s="166">
        <v>10</v>
      </c>
      <c r="S457" s="1">
        <f t="shared" si="137"/>
        <v>133.63030044618193</v>
      </c>
      <c r="T457" s="167">
        <f t="shared" si="138"/>
        <v>200.44545066927287</v>
      </c>
      <c r="U457" s="168">
        <f t="shared" si="140"/>
        <v>1.2841840370515825</v>
      </c>
      <c r="V457" s="169">
        <f t="shared" si="139"/>
        <v>10.690424035694555</v>
      </c>
      <c r="W457" s="170">
        <f t="shared" si="135"/>
        <v>257.40884804909064</v>
      </c>
      <c r="X457" s="170">
        <f t="shared" si="136"/>
        <v>268.09927208478518</v>
      </c>
    </row>
    <row r="458" spans="18:25" x14ac:dyDescent="0.15">
      <c r="R458" s="166">
        <v>11</v>
      </c>
      <c r="S458" s="1">
        <f t="shared" si="137"/>
        <v>133.63030044618193</v>
      </c>
      <c r="T458" s="167">
        <f t="shared" si="138"/>
        <v>200.44545066927287</v>
      </c>
      <c r="U458" s="168">
        <f t="shared" si="140"/>
        <v>1.2916751106010496</v>
      </c>
      <c r="V458" s="169">
        <f t="shared" si="139"/>
        <v>10.690424035694555</v>
      </c>
      <c r="W458" s="170">
        <f t="shared" si="135"/>
        <v>258.91039966271023</v>
      </c>
      <c r="X458" s="170">
        <f t="shared" si="136"/>
        <v>269.60082369840478</v>
      </c>
    </row>
    <row r="459" spans="18:25" x14ac:dyDescent="0.15">
      <c r="R459" s="166">
        <v>12</v>
      </c>
      <c r="S459" s="1">
        <f t="shared" si="137"/>
        <v>133.63030044618193</v>
      </c>
      <c r="T459" s="167">
        <f t="shared" si="138"/>
        <v>200.44545066927287</v>
      </c>
      <c r="U459" s="168">
        <f t="shared" si="140"/>
        <v>1.2992098820795552</v>
      </c>
      <c r="V459" s="169">
        <f t="shared" si="139"/>
        <v>10.690424035694555</v>
      </c>
      <c r="W459" s="170">
        <f t="shared" si="135"/>
        <v>260.42071032740932</v>
      </c>
      <c r="X459" s="170">
        <f t="shared" si="136"/>
        <v>271.11113436310387</v>
      </c>
    </row>
    <row r="460" spans="18:25" ht="16" x14ac:dyDescent="0.3">
      <c r="R460" s="198">
        <f>SUM(S460:T460)</f>
        <v>4008.9090133854579</v>
      </c>
      <c r="S460" s="118">
        <f>IF($C$17&gt;=S445,SUM(S448:S459),"")</f>
        <v>1603.5636053541837</v>
      </c>
      <c r="T460" s="119">
        <f>IF($C$17&gt;=S445,SUM(T448:T459),"")</f>
        <v>2405.345408031274</v>
      </c>
      <c r="U460" s="184">
        <f>IF(Y461="",0,AVERAGE(U448:U459))</f>
        <v>1.2585594101635136</v>
      </c>
      <c r="V460" s="120">
        <f>IF($C$17&gt;=S445,SUM(V448:V459),"")</f>
        <v>128.28508842833463</v>
      </c>
      <c r="W460" s="121">
        <f>IF($C$17&gt;=S445,SUM(W448:W459),"")</f>
        <v>3027.2700979713563</v>
      </c>
      <c r="X460" s="121">
        <f>IF($C$17&gt;=S445,SUM(X448:X459),"")</f>
        <v>3155.5551863996911</v>
      </c>
    </row>
    <row r="461" spans="18:25" x14ac:dyDescent="0.15">
      <c r="W461" s="156" t="s">
        <v>53</v>
      </c>
      <c r="X461" s="117">
        <f>IF(AND($D$38="Yes",$D$40+1=S445,$C$17&gt;=S445),$B$40,0)</f>
        <v>0</v>
      </c>
      <c r="Y461" s="142">
        <f>IF(X460="","",IF($D$38="No",X460,IF($D$38="Yes",X460-X461,X460)))</f>
        <v>3155.5551863996911</v>
      </c>
    </row>
    <row r="462" spans="18:25" ht="14" thickBot="1" x14ac:dyDescent="0.2"/>
    <row r="463" spans="18:25" ht="17" thickBot="1" x14ac:dyDescent="0.25">
      <c r="R463" s="126" t="s">
        <v>48</v>
      </c>
      <c r="S463" s="127">
        <v>23</v>
      </c>
      <c r="T463" s="154" t="s">
        <v>66</v>
      </c>
      <c r="U463" s="143">
        <f>U445-($C$36*U445)</f>
        <v>333.07352386210846</v>
      </c>
      <c r="V463" s="155" t="s">
        <v>68</v>
      </c>
      <c r="W463" s="185">
        <f>ROUND($C$25/12,15)</f>
        <v>5.8333333333329997E-3</v>
      </c>
      <c r="X463" s="161">
        <f>IF(X478="",0,(U463*12-(U463*12)*$C$36)/POWER(1+0,S463))</f>
        <v>3984.8916394862654</v>
      </c>
    </row>
    <row r="464" spans="18:25" x14ac:dyDescent="0.15">
      <c r="U464" s="182" t="s">
        <v>76</v>
      </c>
      <c r="V464" s="166">
        <f>IF(S463&lt;=$C$31,$C$29,IF(AND(S463&gt;$C$31,$B$34="Yes"),AVERAGE(U466:U477),$D$34))</f>
        <v>0.08</v>
      </c>
    </row>
    <row r="465" spans="18:25" x14ac:dyDescent="0.15">
      <c r="R465" s="122" t="s">
        <v>70</v>
      </c>
      <c r="S465" s="124">
        <f>$C$27</f>
        <v>0.4</v>
      </c>
      <c r="T465" s="125">
        <f>100%-$S465</f>
        <v>0.6</v>
      </c>
      <c r="U465" s="112" t="s">
        <v>72</v>
      </c>
      <c r="V465" s="115" t="s">
        <v>71</v>
      </c>
      <c r="W465" s="115" t="s">
        <v>67</v>
      </c>
      <c r="X465" s="116" t="s">
        <v>69</v>
      </c>
    </row>
    <row r="466" spans="18:25" x14ac:dyDescent="0.15">
      <c r="R466" s="166">
        <v>1</v>
      </c>
      <c r="S466" s="1">
        <f>$U$463*$C$27</f>
        <v>133.22940954484338</v>
      </c>
      <c r="T466" s="167">
        <f>$U$463*(100%-$C$27)</f>
        <v>199.84411431726508</v>
      </c>
      <c r="U466" s="168">
        <f>U459*(1+$W$463)</f>
        <v>1.3067886063916854</v>
      </c>
      <c r="V466" s="169">
        <f>S466*$V$464</f>
        <v>10.658352763587471</v>
      </c>
      <c r="W466" s="170">
        <f t="shared" ref="W466:W477" si="141">T466*U466</f>
        <v>261.15401164423952</v>
      </c>
      <c r="X466" s="170">
        <f t="shared" ref="X466:X477" si="142">W466+V466</f>
        <v>271.81236440782698</v>
      </c>
    </row>
    <row r="467" spans="18:25" x14ac:dyDescent="0.15">
      <c r="R467" s="166">
        <v>2</v>
      </c>
      <c r="S467" s="1">
        <f t="shared" ref="S467:S477" si="143">$U$463*$C$27</f>
        <v>133.22940954484338</v>
      </c>
      <c r="T467" s="167">
        <f t="shared" ref="T467:T477" si="144">$U$463*(100%-$C$27)</f>
        <v>199.84411431726508</v>
      </c>
      <c r="U467" s="168">
        <f>U466*(1+$W$463)</f>
        <v>1.3144115399289698</v>
      </c>
      <c r="V467" s="169">
        <f t="shared" ref="V467:V477" si="145">S467*$V$464</f>
        <v>10.658352763587471</v>
      </c>
      <c r="W467" s="170">
        <f t="shared" si="141"/>
        <v>262.67741004549748</v>
      </c>
      <c r="X467" s="170">
        <f t="shared" si="142"/>
        <v>273.33576280908494</v>
      </c>
    </row>
    <row r="468" spans="18:25" x14ac:dyDescent="0.15">
      <c r="R468" s="166">
        <v>3</v>
      </c>
      <c r="S468" s="1">
        <f t="shared" si="143"/>
        <v>133.22940954484338</v>
      </c>
      <c r="T468" s="167">
        <f t="shared" si="144"/>
        <v>199.84411431726508</v>
      </c>
      <c r="U468" s="168">
        <f t="shared" ref="U468:U477" si="146">U467*(1+$W$463)</f>
        <v>1.3220789405785549</v>
      </c>
      <c r="V468" s="169">
        <f t="shared" si="145"/>
        <v>10.658352763587471</v>
      </c>
      <c r="W468" s="170">
        <f t="shared" si="141"/>
        <v>264.20969493742945</v>
      </c>
      <c r="X468" s="170">
        <f t="shared" si="142"/>
        <v>274.86804770101691</v>
      </c>
    </row>
    <row r="469" spans="18:25" x14ac:dyDescent="0.15">
      <c r="R469" s="166">
        <v>4</v>
      </c>
      <c r="S469" s="1">
        <f t="shared" si="143"/>
        <v>133.22940954484338</v>
      </c>
      <c r="T469" s="167">
        <f t="shared" si="144"/>
        <v>199.84411431726508</v>
      </c>
      <c r="U469" s="168">
        <f t="shared" si="146"/>
        <v>1.3297910677319293</v>
      </c>
      <c r="V469" s="169">
        <f t="shared" si="145"/>
        <v>10.658352763587471</v>
      </c>
      <c r="W469" s="170">
        <f t="shared" si="141"/>
        <v>265.75091815789767</v>
      </c>
      <c r="X469" s="170">
        <f t="shared" si="142"/>
        <v>276.40927092148513</v>
      </c>
    </row>
    <row r="470" spans="18:25" x14ac:dyDescent="0.15">
      <c r="R470" s="166">
        <v>5</v>
      </c>
      <c r="S470" s="1">
        <f t="shared" si="143"/>
        <v>133.22940954484338</v>
      </c>
      <c r="T470" s="167">
        <f t="shared" si="144"/>
        <v>199.84411431726508</v>
      </c>
      <c r="U470" s="168">
        <f t="shared" si="146"/>
        <v>1.3375481822936983</v>
      </c>
      <c r="V470" s="169">
        <f t="shared" si="145"/>
        <v>10.658352763587471</v>
      </c>
      <c r="W470" s="170">
        <f t="shared" si="141"/>
        <v>267.30113184715196</v>
      </c>
      <c r="X470" s="170">
        <f t="shared" si="142"/>
        <v>277.95948461073942</v>
      </c>
    </row>
    <row r="471" spans="18:25" x14ac:dyDescent="0.15">
      <c r="R471" s="166">
        <v>6</v>
      </c>
      <c r="S471" s="1">
        <f t="shared" si="143"/>
        <v>133.22940954484338</v>
      </c>
      <c r="T471" s="167">
        <f t="shared" si="144"/>
        <v>199.84411431726508</v>
      </c>
      <c r="U471" s="168">
        <f t="shared" si="146"/>
        <v>1.345350546690411</v>
      </c>
      <c r="V471" s="169">
        <f t="shared" si="145"/>
        <v>10.658352763587471</v>
      </c>
      <c r="W471" s="170">
        <f t="shared" si="141"/>
        <v>268.86038844959359</v>
      </c>
      <c r="X471" s="170">
        <f t="shared" si="142"/>
        <v>279.51874121318104</v>
      </c>
    </row>
    <row r="472" spans="18:25" x14ac:dyDescent="0.15">
      <c r="R472" s="166">
        <v>7</v>
      </c>
      <c r="S472" s="1">
        <f t="shared" si="143"/>
        <v>133.22940954484338</v>
      </c>
      <c r="T472" s="167">
        <f t="shared" si="144"/>
        <v>199.84411431726508</v>
      </c>
      <c r="U472" s="168">
        <f t="shared" si="146"/>
        <v>1.3531984248794378</v>
      </c>
      <c r="V472" s="169">
        <f t="shared" si="145"/>
        <v>10.658352763587471</v>
      </c>
      <c r="W472" s="170">
        <f t="shared" si="141"/>
        <v>270.4287407155494</v>
      </c>
      <c r="X472" s="170">
        <f t="shared" si="142"/>
        <v>281.08709347913685</v>
      </c>
    </row>
    <row r="473" spans="18:25" x14ac:dyDescent="0.15">
      <c r="R473" s="166">
        <v>8</v>
      </c>
      <c r="S473" s="1">
        <f t="shared" si="143"/>
        <v>133.22940954484338</v>
      </c>
      <c r="T473" s="167">
        <f t="shared" si="144"/>
        <v>199.84411431726508</v>
      </c>
      <c r="U473" s="168">
        <f t="shared" si="146"/>
        <v>1.3610920823579005</v>
      </c>
      <c r="V473" s="169">
        <f t="shared" si="145"/>
        <v>10.658352763587471</v>
      </c>
      <c r="W473" s="170">
        <f t="shared" si="141"/>
        <v>272.00624170305662</v>
      </c>
      <c r="X473" s="170">
        <f t="shared" si="142"/>
        <v>282.66459446664408</v>
      </c>
    </row>
    <row r="474" spans="18:25" x14ac:dyDescent="0.15">
      <c r="R474" s="166">
        <v>9</v>
      </c>
      <c r="S474" s="1">
        <f t="shared" si="143"/>
        <v>133.22940954484338</v>
      </c>
      <c r="T474" s="167">
        <f t="shared" si="144"/>
        <v>199.84411431726508</v>
      </c>
      <c r="U474" s="168">
        <f t="shared" si="146"/>
        <v>1.3690317861716543</v>
      </c>
      <c r="V474" s="169">
        <f t="shared" si="145"/>
        <v>10.658352763587471</v>
      </c>
      <c r="W474" s="170">
        <f t="shared" si="141"/>
        <v>273.59294477965767</v>
      </c>
      <c r="X474" s="170">
        <f t="shared" si="142"/>
        <v>284.25129754324513</v>
      </c>
    </row>
    <row r="475" spans="18:25" x14ac:dyDescent="0.15">
      <c r="R475" s="166">
        <v>10</v>
      </c>
      <c r="S475" s="1">
        <f t="shared" si="143"/>
        <v>133.22940954484338</v>
      </c>
      <c r="T475" s="167">
        <f t="shared" si="144"/>
        <v>199.84411431726508</v>
      </c>
      <c r="U475" s="168">
        <f t="shared" si="146"/>
        <v>1.3770178049243218</v>
      </c>
      <c r="V475" s="169">
        <f t="shared" si="145"/>
        <v>10.658352763587471</v>
      </c>
      <c r="W475" s="170">
        <f t="shared" si="141"/>
        <v>275.18890362420558</v>
      </c>
      <c r="X475" s="170">
        <f t="shared" si="142"/>
        <v>285.84725638779304</v>
      </c>
    </row>
    <row r="476" spans="18:25" x14ac:dyDescent="0.15">
      <c r="R476" s="166">
        <v>11</v>
      </c>
      <c r="S476" s="1">
        <f t="shared" si="143"/>
        <v>133.22940954484338</v>
      </c>
      <c r="T476" s="167">
        <f t="shared" si="144"/>
        <v>199.84411431726508</v>
      </c>
      <c r="U476" s="168">
        <f t="shared" si="146"/>
        <v>1.3850504087863797</v>
      </c>
      <c r="V476" s="169">
        <f t="shared" si="145"/>
        <v>10.658352763587471</v>
      </c>
      <c r="W476" s="170">
        <f t="shared" si="141"/>
        <v>276.79417222868</v>
      </c>
      <c r="X476" s="170">
        <f t="shared" si="142"/>
        <v>287.45252499226746</v>
      </c>
    </row>
    <row r="477" spans="18:25" x14ac:dyDescent="0.15">
      <c r="R477" s="166">
        <v>12</v>
      </c>
      <c r="S477" s="1">
        <f t="shared" si="143"/>
        <v>133.22940954484338</v>
      </c>
      <c r="T477" s="167">
        <f t="shared" si="144"/>
        <v>199.84411431726508</v>
      </c>
      <c r="U477" s="168">
        <f t="shared" si="146"/>
        <v>1.3931298695042997</v>
      </c>
      <c r="V477" s="169">
        <f t="shared" si="145"/>
        <v>10.658352763587471</v>
      </c>
      <c r="W477" s="170">
        <f t="shared" si="141"/>
        <v>278.40880490001388</v>
      </c>
      <c r="X477" s="170">
        <f t="shared" si="142"/>
        <v>289.06715766360134</v>
      </c>
    </row>
    <row r="478" spans="18:25" ht="16" x14ac:dyDescent="0.3">
      <c r="R478" s="198">
        <f>SUM(S478:T478)</f>
        <v>3996.8822863453015</v>
      </c>
      <c r="S478" s="118">
        <f>IF($C$17&gt;=S463,SUM(S466:S477),"")</f>
        <v>1598.7529145381202</v>
      </c>
      <c r="T478" s="119">
        <f>IF($C$17&gt;=S463,SUM(T466:T477),"")</f>
        <v>2398.1293718071811</v>
      </c>
      <c r="U478" s="184">
        <f>IF(Y479="",0,AVERAGE(U466:U477))</f>
        <v>1.3495407716866037</v>
      </c>
      <c r="V478" s="120">
        <f>IF($C$17&gt;=S463,SUM(V466:V477),"")</f>
        <v>127.90023316304966</v>
      </c>
      <c r="W478" s="121">
        <f>IF($C$17&gt;=S463,SUM(W466:W477),"")</f>
        <v>3236.3733630329725</v>
      </c>
      <c r="X478" s="121">
        <f>IF($C$17&gt;=S463,SUM(X466:X477),"")</f>
        <v>3364.2735961960225</v>
      </c>
    </row>
    <row r="479" spans="18:25" x14ac:dyDescent="0.15">
      <c r="W479" s="156" t="s">
        <v>53</v>
      </c>
      <c r="X479" s="117">
        <f>IF(AND($D$38="Yes",$D$40+1=S463,$C$17&gt;=S463),$B$40,0)</f>
        <v>0</v>
      </c>
      <c r="Y479" s="142">
        <f>IF(X478="","",IF($D$38="No",X478,IF($D$38="Yes",X478-X479,X478)))</f>
        <v>3364.2735961960225</v>
      </c>
    </row>
    <row r="480" spans="18:25" ht="14" thickBot="1" x14ac:dyDescent="0.2"/>
    <row r="481" spans="18:24" ht="17" thickBot="1" x14ac:dyDescent="0.25">
      <c r="R481" s="126" t="s">
        <v>48</v>
      </c>
      <c r="S481" s="127">
        <v>24</v>
      </c>
      <c r="T481" s="154" t="s">
        <v>66</v>
      </c>
      <c r="U481" s="143">
        <f>U463-($C$36*U463)</f>
        <v>332.07430329052215</v>
      </c>
      <c r="V481" s="155" t="s">
        <v>68</v>
      </c>
      <c r="W481" s="185">
        <f>ROUND($C$25/12,15)</f>
        <v>5.8333333333329997E-3</v>
      </c>
      <c r="X481" s="161">
        <f>IF(X496="",0,(U481*12-(U481*12)*$C$36)/POWER(1+0,S481))</f>
        <v>3972.9369645678071</v>
      </c>
    </row>
    <row r="482" spans="18:24" x14ac:dyDescent="0.15">
      <c r="U482" s="182" t="s">
        <v>76</v>
      </c>
      <c r="V482" s="166">
        <f>IF(S481&lt;=$C$31,$C$29,IF(AND(S481&gt;$C$31,$B$34="Yes"),AVERAGE(U484:U495),$D$34))</f>
        <v>0.08</v>
      </c>
    </row>
    <row r="483" spans="18:24" x14ac:dyDescent="0.15">
      <c r="R483" s="122" t="s">
        <v>70</v>
      </c>
      <c r="S483" s="124">
        <f>$C$27</f>
        <v>0.4</v>
      </c>
      <c r="T483" s="125">
        <f>100%-$S483</f>
        <v>0.6</v>
      </c>
      <c r="U483" s="112" t="s">
        <v>72</v>
      </c>
      <c r="V483" s="115" t="s">
        <v>71</v>
      </c>
      <c r="W483" s="115" t="s">
        <v>67</v>
      </c>
      <c r="X483" s="116" t="s">
        <v>69</v>
      </c>
    </row>
    <row r="484" spans="18:24" x14ac:dyDescent="0.15">
      <c r="R484" s="166">
        <v>1</v>
      </c>
      <c r="S484" s="1">
        <f>$U$481*$C$27</f>
        <v>132.82972131620886</v>
      </c>
      <c r="T484" s="167">
        <f>$U$481*(100%-$C$27)</f>
        <v>199.24458197431329</v>
      </c>
      <c r="U484" s="168">
        <f>U477*(1+$W$481)</f>
        <v>1.4012564604097408</v>
      </c>
      <c r="V484" s="169">
        <f>S484*$V$482</f>
        <v>10.62637770529671</v>
      </c>
      <c r="W484" s="170">
        <f t="shared" ref="W484:W495" si="147">T484*U484</f>
        <v>279.1927576931447</v>
      </c>
      <c r="X484" s="170">
        <f t="shared" ref="X484:X495" si="148">W484+V484</f>
        <v>289.8191353984414</v>
      </c>
    </row>
    <row r="485" spans="18:24" x14ac:dyDescent="0.15">
      <c r="R485" s="166">
        <v>2</v>
      </c>
      <c r="S485" s="1">
        <f t="shared" ref="S485:S495" si="149">$U$481*$C$27</f>
        <v>132.82972131620886</v>
      </c>
      <c r="T485" s="167">
        <f t="shared" ref="T485:T495" si="150">$U$481*(100%-$C$27)</f>
        <v>199.24458197431329</v>
      </c>
      <c r="U485" s="168">
        <f>U484*(1+$W$481)</f>
        <v>1.4094304564287972</v>
      </c>
      <c r="V485" s="169">
        <f t="shared" ref="V485:V495" si="151">S485*$V$482</f>
        <v>10.62637770529671</v>
      </c>
      <c r="W485" s="170">
        <f t="shared" si="147"/>
        <v>280.82138211302129</v>
      </c>
      <c r="X485" s="170">
        <f t="shared" si="148"/>
        <v>291.44775981831799</v>
      </c>
    </row>
    <row r="486" spans="18:24" x14ac:dyDescent="0.15">
      <c r="R486" s="166">
        <v>3</v>
      </c>
      <c r="S486" s="1">
        <f t="shared" si="149"/>
        <v>132.82972131620886</v>
      </c>
      <c r="T486" s="167">
        <f t="shared" si="150"/>
        <v>199.24458197431329</v>
      </c>
      <c r="U486" s="168">
        <f t="shared" ref="U486:U495" si="152">U485*(1+$W$481)</f>
        <v>1.417652134091298</v>
      </c>
      <c r="V486" s="169">
        <f t="shared" si="151"/>
        <v>10.62637770529671</v>
      </c>
      <c r="W486" s="170">
        <f t="shared" si="147"/>
        <v>282.45950684201381</v>
      </c>
      <c r="X486" s="170">
        <f t="shared" si="148"/>
        <v>293.08588454731051</v>
      </c>
    </row>
    <row r="487" spans="18:24" x14ac:dyDescent="0.15">
      <c r="R487" s="166">
        <v>4</v>
      </c>
      <c r="S487" s="1">
        <f t="shared" si="149"/>
        <v>132.82972131620886</v>
      </c>
      <c r="T487" s="167">
        <f t="shared" si="150"/>
        <v>199.24458197431329</v>
      </c>
      <c r="U487" s="168">
        <f t="shared" si="152"/>
        <v>1.4259217715401633</v>
      </c>
      <c r="V487" s="169">
        <f t="shared" si="151"/>
        <v>10.62637770529671</v>
      </c>
      <c r="W487" s="170">
        <f t="shared" si="147"/>
        <v>284.10718729859212</v>
      </c>
      <c r="X487" s="170">
        <f t="shared" si="148"/>
        <v>294.73356500388883</v>
      </c>
    </row>
    <row r="488" spans="18:24" x14ac:dyDescent="0.15">
      <c r="R488" s="166">
        <v>5</v>
      </c>
      <c r="S488" s="1">
        <f t="shared" si="149"/>
        <v>132.82972131620886</v>
      </c>
      <c r="T488" s="167">
        <f t="shared" si="150"/>
        <v>199.24458197431329</v>
      </c>
      <c r="U488" s="168">
        <f t="shared" si="152"/>
        <v>1.4342396485408138</v>
      </c>
      <c r="V488" s="169">
        <f t="shared" si="151"/>
        <v>10.62637770529671</v>
      </c>
      <c r="W488" s="170">
        <f t="shared" si="147"/>
        <v>285.76447922450046</v>
      </c>
      <c r="X488" s="170">
        <f t="shared" si="148"/>
        <v>296.39085692979717</v>
      </c>
    </row>
    <row r="489" spans="18:24" x14ac:dyDescent="0.15">
      <c r="R489" s="166">
        <v>6</v>
      </c>
      <c r="S489" s="1">
        <f t="shared" si="149"/>
        <v>132.82972131620886</v>
      </c>
      <c r="T489" s="167">
        <f t="shared" si="150"/>
        <v>199.24458197431329</v>
      </c>
      <c r="U489" s="168">
        <f t="shared" si="152"/>
        <v>1.4426060464906345</v>
      </c>
      <c r="V489" s="169">
        <f t="shared" si="151"/>
        <v>10.62637770529671</v>
      </c>
      <c r="W489" s="170">
        <f t="shared" si="147"/>
        <v>287.43143868664322</v>
      </c>
      <c r="X489" s="170">
        <f t="shared" si="148"/>
        <v>298.05781639193992</v>
      </c>
    </row>
    <row r="490" spans="18:24" x14ac:dyDescent="0.15">
      <c r="R490" s="166">
        <v>7</v>
      </c>
      <c r="S490" s="1">
        <f t="shared" si="149"/>
        <v>132.82972131620886</v>
      </c>
      <c r="T490" s="167">
        <f t="shared" si="150"/>
        <v>199.24458197431329</v>
      </c>
      <c r="U490" s="168">
        <f t="shared" si="152"/>
        <v>1.4510212484284959</v>
      </c>
      <c r="V490" s="169">
        <f t="shared" si="151"/>
        <v>10.62637770529671</v>
      </c>
      <c r="W490" s="170">
        <f t="shared" si="147"/>
        <v>289.10812207898186</v>
      </c>
      <c r="X490" s="170">
        <f t="shared" si="148"/>
        <v>299.73449978427857</v>
      </c>
    </row>
    <row r="491" spans="18:24" x14ac:dyDescent="0.15">
      <c r="R491" s="166">
        <v>8</v>
      </c>
      <c r="S491" s="1">
        <f t="shared" si="149"/>
        <v>132.82972131620886</v>
      </c>
      <c r="T491" s="167">
        <f t="shared" si="150"/>
        <v>199.24458197431329</v>
      </c>
      <c r="U491" s="168">
        <f t="shared" si="152"/>
        <v>1.4594855390443282</v>
      </c>
      <c r="V491" s="169">
        <f t="shared" si="151"/>
        <v>10.62637770529671</v>
      </c>
      <c r="W491" s="170">
        <f t="shared" si="147"/>
        <v>290.79458612444245</v>
      </c>
      <c r="X491" s="170">
        <f t="shared" si="148"/>
        <v>301.42096382973915</v>
      </c>
    </row>
    <row r="492" spans="18:24" x14ac:dyDescent="0.15">
      <c r="R492" s="166">
        <v>9</v>
      </c>
      <c r="S492" s="1">
        <f t="shared" si="149"/>
        <v>132.82972131620886</v>
      </c>
      <c r="T492" s="167">
        <f t="shared" si="150"/>
        <v>199.24458197431329</v>
      </c>
      <c r="U492" s="168">
        <f t="shared" si="152"/>
        <v>1.4679992046887529</v>
      </c>
      <c r="V492" s="169">
        <f t="shared" si="151"/>
        <v>10.62637770529671</v>
      </c>
      <c r="W492" s="170">
        <f t="shared" si="147"/>
        <v>292.49088787683496</v>
      </c>
      <c r="X492" s="170">
        <f t="shared" si="148"/>
        <v>303.11726558213167</v>
      </c>
    </row>
    <row r="493" spans="18:24" x14ac:dyDescent="0.15">
      <c r="R493" s="166">
        <v>10</v>
      </c>
      <c r="S493" s="1">
        <f t="shared" si="149"/>
        <v>132.82972131620886</v>
      </c>
      <c r="T493" s="167">
        <f t="shared" si="150"/>
        <v>199.24458197431329</v>
      </c>
      <c r="U493" s="168">
        <f t="shared" si="152"/>
        <v>1.4765625333827701</v>
      </c>
      <c r="V493" s="169">
        <f t="shared" si="151"/>
        <v>10.62637770529671</v>
      </c>
      <c r="W493" s="170">
        <f t="shared" si="147"/>
        <v>294.19708472278302</v>
      </c>
      <c r="X493" s="170">
        <f t="shared" si="148"/>
        <v>304.82346242807972</v>
      </c>
    </row>
    <row r="494" spans="18:24" x14ac:dyDescent="0.15">
      <c r="R494" s="166">
        <v>11</v>
      </c>
      <c r="S494" s="1">
        <f t="shared" si="149"/>
        <v>132.82972131620886</v>
      </c>
      <c r="T494" s="167">
        <f t="shared" si="150"/>
        <v>199.24458197431329</v>
      </c>
      <c r="U494" s="168">
        <f t="shared" si="152"/>
        <v>1.4851758148275023</v>
      </c>
      <c r="V494" s="169">
        <f t="shared" si="151"/>
        <v>10.62637770529671</v>
      </c>
      <c r="W494" s="170">
        <f t="shared" si="147"/>
        <v>295.91323438366584</v>
      </c>
      <c r="X494" s="170">
        <f t="shared" si="148"/>
        <v>306.53961208896254</v>
      </c>
    </row>
    <row r="495" spans="18:24" x14ac:dyDescent="0.15">
      <c r="R495" s="166">
        <v>12</v>
      </c>
      <c r="S495" s="1">
        <f t="shared" si="149"/>
        <v>132.82972131620886</v>
      </c>
      <c r="T495" s="167">
        <f t="shared" si="150"/>
        <v>199.24458197431329</v>
      </c>
      <c r="U495" s="168">
        <f t="shared" si="152"/>
        <v>1.4938393404139954</v>
      </c>
      <c r="V495" s="169">
        <f t="shared" si="151"/>
        <v>10.62637770529671</v>
      </c>
      <c r="W495" s="170">
        <f t="shared" si="147"/>
        <v>297.63939491757037</v>
      </c>
      <c r="X495" s="170">
        <f t="shared" si="148"/>
        <v>308.26577262286708</v>
      </c>
    </row>
    <row r="496" spans="18:24" ht="16" x14ac:dyDescent="0.3">
      <c r="R496" s="198">
        <f>SUM(S496:T496)</f>
        <v>3984.8916394862663</v>
      </c>
      <c r="S496" s="118">
        <f>IF($C$17&gt;=S481,SUM(S484:S495),"")</f>
        <v>1593.9566557945063</v>
      </c>
      <c r="T496" s="119">
        <f>IF($C$17&gt;=S481,SUM(T484:T495),"")</f>
        <v>2390.93498369176</v>
      </c>
      <c r="U496" s="184">
        <f>IF(Y497="",0,AVERAGE(U484:U495))</f>
        <v>1.4470991831906075</v>
      </c>
      <c r="V496" s="120">
        <f>IF($C$17&gt;=S481,SUM(V484:V495),"")</f>
        <v>127.51653246356049</v>
      </c>
      <c r="W496" s="121">
        <f>IF($C$17&gt;=S481,SUM(W484:W495),"")</f>
        <v>3459.9200619621947</v>
      </c>
      <c r="X496" s="121">
        <f>IF($C$17&gt;=S481,SUM(X484:X495),"")</f>
        <v>3587.4365944257547</v>
      </c>
    </row>
    <row r="497" spans="18:25" x14ac:dyDescent="0.15">
      <c r="W497" s="156" t="s">
        <v>53</v>
      </c>
      <c r="X497" s="117">
        <f>IF(AND($D$38="Yes",$D$40+1=S481,$C$17&gt;=S481),$B$40,0)</f>
        <v>0</v>
      </c>
      <c r="Y497" s="142">
        <f>IF(X496="","",IF($D$38="No",X496,IF($D$38="Yes",X496-X497,X496)))</f>
        <v>3587.4365944257547</v>
      </c>
    </row>
    <row r="498" spans="18:25" ht="14" thickBot="1" x14ac:dyDescent="0.2"/>
    <row r="499" spans="18:25" ht="17" thickBot="1" x14ac:dyDescent="0.25">
      <c r="R499" s="126" t="s">
        <v>48</v>
      </c>
      <c r="S499" s="127">
        <v>25</v>
      </c>
      <c r="T499" s="154" t="s">
        <v>66</v>
      </c>
      <c r="U499" s="143">
        <f>U481-($C$36*U481)</f>
        <v>331.07808038065059</v>
      </c>
      <c r="V499" s="155" t="s">
        <v>68</v>
      </c>
      <c r="W499" s="185">
        <f>ROUND($C$25/12,15)</f>
        <v>5.8333333333329997E-3</v>
      </c>
      <c r="X499" s="161">
        <f>IF(X514="",0,(U499*12-(U499*12)*$C$36)/POWER(1+0,S499))</f>
        <v>3961.0181536741038</v>
      </c>
    </row>
    <row r="500" spans="18:25" x14ac:dyDescent="0.15">
      <c r="U500" s="182" t="s">
        <v>76</v>
      </c>
      <c r="V500" s="166">
        <f>IF(S499&lt;=$C$31,$C$29,IF(AND(S499&gt;$C$31,$B$34="Yes"),AVERAGE(U502:U513),$D$34))</f>
        <v>0.08</v>
      </c>
    </row>
    <row r="501" spans="18:25" x14ac:dyDescent="0.15">
      <c r="R501" s="122" t="s">
        <v>70</v>
      </c>
      <c r="S501" s="124">
        <f>$C$27</f>
        <v>0.4</v>
      </c>
      <c r="T501" s="125">
        <f>100%-$S501</f>
        <v>0.6</v>
      </c>
      <c r="U501" s="112" t="s">
        <v>72</v>
      </c>
      <c r="V501" s="115" t="s">
        <v>71</v>
      </c>
      <c r="W501" s="115" t="s">
        <v>67</v>
      </c>
      <c r="X501" s="116" t="s">
        <v>69</v>
      </c>
    </row>
    <row r="502" spans="18:25" x14ac:dyDescent="0.15">
      <c r="R502" s="166">
        <v>1</v>
      </c>
      <c r="S502" s="1">
        <f>$U$499*$C$27</f>
        <v>132.43123215226024</v>
      </c>
      <c r="T502" s="167">
        <f>$U$499*(100%-$C$27)</f>
        <v>198.64684822839035</v>
      </c>
      <c r="U502" s="168">
        <f>U495*(1+$W$499)</f>
        <v>1.5025534032330763</v>
      </c>
      <c r="V502" s="169">
        <f>S502*$V$500</f>
        <v>10.59449857218082</v>
      </c>
      <c r="W502" s="170">
        <f t="shared" ref="W502:W513" si="153">T502*U502</f>
        <v>298.47749784709231</v>
      </c>
      <c r="X502" s="170">
        <f t="shared" ref="X502:X513" si="154">W502+V502</f>
        <v>309.07199641927315</v>
      </c>
    </row>
    <row r="503" spans="18:25" x14ac:dyDescent="0.15">
      <c r="R503" s="166">
        <v>2</v>
      </c>
      <c r="S503" s="1">
        <f t="shared" ref="S503:S513" si="155">$U$499*$C$27</f>
        <v>132.43123215226024</v>
      </c>
      <c r="T503" s="167">
        <f t="shared" ref="T503:T513" si="156">$U$499*(100%-$C$27)</f>
        <v>198.64684822839035</v>
      </c>
      <c r="U503" s="168">
        <f>U502*(1+$W$499)</f>
        <v>1.5113182980852686</v>
      </c>
      <c r="V503" s="169">
        <f t="shared" ref="V503:V513" si="157">S503*$V$500</f>
        <v>10.59449857218082</v>
      </c>
      <c r="W503" s="170">
        <f t="shared" si="153"/>
        <v>300.21861658453355</v>
      </c>
      <c r="X503" s="170">
        <f t="shared" si="154"/>
        <v>310.81311515671439</v>
      </c>
    </row>
    <row r="504" spans="18:25" x14ac:dyDescent="0.15">
      <c r="R504" s="166">
        <v>3</v>
      </c>
      <c r="S504" s="1">
        <f t="shared" si="155"/>
        <v>132.43123215226024</v>
      </c>
      <c r="T504" s="167">
        <f t="shared" si="156"/>
        <v>198.64684822839035</v>
      </c>
      <c r="U504" s="168">
        <f t="shared" ref="U504:U513" si="158">U503*(1+$W$499)</f>
        <v>1.5201343214907654</v>
      </c>
      <c r="V504" s="169">
        <f t="shared" si="157"/>
        <v>10.59449857218082</v>
      </c>
      <c r="W504" s="170">
        <f t="shared" si="153"/>
        <v>301.96989184794325</v>
      </c>
      <c r="X504" s="170">
        <f t="shared" si="154"/>
        <v>312.56439042012408</v>
      </c>
    </row>
    <row r="505" spans="18:25" x14ac:dyDescent="0.15">
      <c r="R505" s="166">
        <v>4</v>
      </c>
      <c r="S505" s="1">
        <f t="shared" si="155"/>
        <v>132.43123215226024</v>
      </c>
      <c r="T505" s="167">
        <f t="shared" si="156"/>
        <v>198.64684822839035</v>
      </c>
      <c r="U505" s="168">
        <f t="shared" si="158"/>
        <v>1.5290017716994608</v>
      </c>
      <c r="V505" s="169">
        <f t="shared" si="157"/>
        <v>10.59449857218082</v>
      </c>
      <c r="W505" s="170">
        <f t="shared" si="153"/>
        <v>303.73138288372274</v>
      </c>
      <c r="X505" s="170">
        <f t="shared" si="154"/>
        <v>314.32588145590358</v>
      </c>
    </row>
    <row r="506" spans="18:25" x14ac:dyDescent="0.15">
      <c r="R506" s="166">
        <v>5</v>
      </c>
      <c r="S506" s="1">
        <f t="shared" si="155"/>
        <v>132.43123215226024</v>
      </c>
      <c r="T506" s="167">
        <f t="shared" si="156"/>
        <v>198.64684822839035</v>
      </c>
      <c r="U506" s="168">
        <f t="shared" si="158"/>
        <v>1.5379209487010403</v>
      </c>
      <c r="V506" s="169">
        <f t="shared" si="157"/>
        <v>10.59449857218082</v>
      </c>
      <c r="W506" s="170">
        <f t="shared" si="153"/>
        <v>305.50314928387769</v>
      </c>
      <c r="X506" s="170">
        <f t="shared" si="154"/>
        <v>316.09764785605853</v>
      </c>
    </row>
    <row r="507" spans="18:25" x14ac:dyDescent="0.15">
      <c r="R507" s="166">
        <v>6</v>
      </c>
      <c r="S507" s="1">
        <f t="shared" si="155"/>
        <v>132.43123215226024</v>
      </c>
      <c r="T507" s="167">
        <f t="shared" si="156"/>
        <v>198.64684822839035</v>
      </c>
      <c r="U507" s="168">
        <f t="shared" si="158"/>
        <v>1.546892154235129</v>
      </c>
      <c r="V507" s="169">
        <f t="shared" si="157"/>
        <v>10.59449857218082</v>
      </c>
      <c r="W507" s="170">
        <f t="shared" si="153"/>
        <v>307.28525098803351</v>
      </c>
      <c r="X507" s="170">
        <f t="shared" si="154"/>
        <v>317.87974956021435</v>
      </c>
    </row>
    <row r="508" spans="18:25" x14ac:dyDescent="0.15">
      <c r="R508" s="166">
        <v>7</v>
      </c>
      <c r="S508" s="1">
        <f t="shared" si="155"/>
        <v>132.43123215226024</v>
      </c>
      <c r="T508" s="167">
        <f t="shared" si="156"/>
        <v>198.64684822839035</v>
      </c>
      <c r="U508" s="168">
        <f t="shared" si="158"/>
        <v>1.5559156918015</v>
      </c>
      <c r="V508" s="169">
        <f t="shared" si="157"/>
        <v>10.59449857218082</v>
      </c>
      <c r="W508" s="170">
        <f t="shared" si="153"/>
        <v>309.07774828546354</v>
      </c>
      <c r="X508" s="170">
        <f t="shared" si="154"/>
        <v>319.67224685764438</v>
      </c>
    </row>
    <row r="509" spans="18:25" x14ac:dyDescent="0.15">
      <c r="R509" s="166">
        <v>8</v>
      </c>
      <c r="S509" s="1">
        <f t="shared" si="155"/>
        <v>132.43123215226024</v>
      </c>
      <c r="T509" s="167">
        <f t="shared" si="156"/>
        <v>198.64684822839035</v>
      </c>
      <c r="U509" s="168">
        <f t="shared" si="158"/>
        <v>1.5649918666703415</v>
      </c>
      <c r="V509" s="169">
        <f t="shared" si="157"/>
        <v>10.59449857218082</v>
      </c>
      <c r="W509" s="170">
        <f t="shared" si="153"/>
        <v>310.88070181712862</v>
      </c>
      <c r="X509" s="170">
        <f t="shared" si="154"/>
        <v>321.47520038930946</v>
      </c>
    </row>
    <row r="510" spans="18:25" x14ac:dyDescent="0.15">
      <c r="R510" s="166">
        <v>9</v>
      </c>
      <c r="S510" s="1">
        <f t="shared" si="155"/>
        <v>132.43123215226024</v>
      </c>
      <c r="T510" s="167">
        <f t="shared" si="156"/>
        <v>198.64684822839035</v>
      </c>
      <c r="U510" s="168">
        <f t="shared" si="158"/>
        <v>1.5741209858925844</v>
      </c>
      <c r="V510" s="169">
        <f t="shared" si="157"/>
        <v>10.59449857218082</v>
      </c>
      <c r="W510" s="170">
        <f t="shared" si="153"/>
        <v>312.69417257772841</v>
      </c>
      <c r="X510" s="170">
        <f t="shared" si="154"/>
        <v>323.28867114990925</v>
      </c>
    </row>
    <row r="511" spans="18:25" x14ac:dyDescent="0.15">
      <c r="R511" s="166">
        <v>10</v>
      </c>
      <c r="S511" s="1">
        <f t="shared" si="155"/>
        <v>132.43123215226024</v>
      </c>
      <c r="T511" s="167">
        <f t="shared" si="156"/>
        <v>198.64684822839035</v>
      </c>
      <c r="U511" s="168">
        <f t="shared" si="158"/>
        <v>1.5833033583102905</v>
      </c>
      <c r="V511" s="169">
        <f t="shared" si="157"/>
        <v>10.59449857218082</v>
      </c>
      <c r="W511" s="170">
        <f t="shared" si="153"/>
        <v>314.518221917765</v>
      </c>
      <c r="X511" s="170">
        <f t="shared" si="154"/>
        <v>325.11272048994584</v>
      </c>
    </row>
    <row r="512" spans="18:25" x14ac:dyDescent="0.15">
      <c r="R512" s="166">
        <v>11</v>
      </c>
      <c r="S512" s="1">
        <f t="shared" si="155"/>
        <v>132.43123215226024</v>
      </c>
      <c r="T512" s="167">
        <f t="shared" si="156"/>
        <v>198.64684822839035</v>
      </c>
      <c r="U512" s="168">
        <f t="shared" si="158"/>
        <v>1.5925392945670998</v>
      </c>
      <c r="V512" s="169">
        <f t="shared" si="157"/>
        <v>10.59449857218082</v>
      </c>
      <c r="W512" s="170">
        <f t="shared" si="153"/>
        <v>316.3529115456185</v>
      </c>
      <c r="X512" s="170">
        <f t="shared" si="154"/>
        <v>326.94741011779934</v>
      </c>
    </row>
    <row r="513" spans="18:25" x14ac:dyDescent="0.15">
      <c r="R513" s="166">
        <v>12</v>
      </c>
      <c r="S513" s="1">
        <f t="shared" si="155"/>
        <v>132.43123215226024</v>
      </c>
      <c r="T513" s="167">
        <f t="shared" si="156"/>
        <v>198.64684822839035</v>
      </c>
      <c r="U513" s="168">
        <f t="shared" si="158"/>
        <v>1.6018291071187405</v>
      </c>
      <c r="V513" s="169">
        <f t="shared" si="157"/>
        <v>10.59449857218082</v>
      </c>
      <c r="W513" s="170">
        <f t="shared" si="153"/>
        <v>318.19830352963447</v>
      </c>
      <c r="X513" s="170">
        <f t="shared" si="154"/>
        <v>328.79280210181531</v>
      </c>
    </row>
    <row r="514" spans="18:25" ht="16" x14ac:dyDescent="0.3">
      <c r="R514" s="198">
        <f>SUM(S514:T514)</f>
        <v>3972.9369645678071</v>
      </c>
      <c r="S514" s="118">
        <f>IF($C$17&gt;=S499,SUM(S502:S513),"")</f>
        <v>1589.1747858271228</v>
      </c>
      <c r="T514" s="119">
        <f>IF($C$17&gt;=S499,SUM(T502:T513),"")</f>
        <v>2383.7621787406842</v>
      </c>
      <c r="U514" s="184">
        <f>IF(Y515="",0,AVERAGE(U502:U513))</f>
        <v>1.5517101001504414</v>
      </c>
      <c r="V514" s="120">
        <f>IF($C$17&gt;=S499,SUM(V502:V513),"")</f>
        <v>127.13398286616986</v>
      </c>
      <c r="W514" s="121">
        <f>IF($C$17&gt;=S499,SUM(W502:W513),"")</f>
        <v>3698.9078491085415</v>
      </c>
      <c r="X514" s="121">
        <f>IF($C$17&gt;=S499,SUM(X502:X513),"")</f>
        <v>3826.0418319747114</v>
      </c>
    </row>
    <row r="515" spans="18:25" x14ac:dyDescent="0.15">
      <c r="W515" s="156" t="s">
        <v>53</v>
      </c>
      <c r="X515" s="117">
        <f>IF(AND($D$38="Yes",$D$40+1=S499,$C$17&gt;=S499),$B$40,0)</f>
        <v>0</v>
      </c>
      <c r="Y515" s="142">
        <f>IF(X514="","",IF($D$38="No",X514,IF($D$38="Yes",X514-X515,X514)))</f>
        <v>3826.0418319747114</v>
      </c>
    </row>
    <row r="516" spans="18:25" ht="14" thickBot="1" x14ac:dyDescent="0.2"/>
    <row r="517" spans="18:25" ht="17" thickBot="1" x14ac:dyDescent="0.25">
      <c r="R517" s="126" t="s">
        <v>48</v>
      </c>
      <c r="S517" s="127">
        <v>26</v>
      </c>
      <c r="T517" s="154" t="s">
        <v>66</v>
      </c>
      <c r="U517" s="143">
        <f>U499-($C$36*U499)</f>
        <v>330.08484613950861</v>
      </c>
      <c r="V517" s="155" t="s">
        <v>68</v>
      </c>
      <c r="W517" s="185">
        <f>ROUND($C$25/12,15)</f>
        <v>5.8333333333329997E-3</v>
      </c>
      <c r="X517" s="161">
        <f>IF(X532="",0,(U517*12-(U517*12)*$C$36)/POWER(1+0,S517))</f>
        <v>3949.135099213081</v>
      </c>
    </row>
    <row r="518" spans="18:25" x14ac:dyDescent="0.15">
      <c r="U518" s="182" t="s">
        <v>76</v>
      </c>
      <c r="V518" s="166">
        <f>IF(S517&lt;=$C$31,$C$29,IF(AND(S517&gt;$C$31,$B$34="Yes"),AVERAGE(U520:U531),$D$34))</f>
        <v>0.08</v>
      </c>
    </row>
    <row r="519" spans="18:25" x14ac:dyDescent="0.15">
      <c r="R519" s="122" t="s">
        <v>70</v>
      </c>
      <c r="S519" s="124">
        <f>$C$27</f>
        <v>0.4</v>
      </c>
      <c r="T519" s="125">
        <f>100%-$S519</f>
        <v>0.6</v>
      </c>
      <c r="U519" s="112" t="s">
        <v>72</v>
      </c>
      <c r="V519" s="115" t="s">
        <v>71</v>
      </c>
      <c r="W519" s="115" t="s">
        <v>67</v>
      </c>
      <c r="X519" s="116" t="s">
        <v>69</v>
      </c>
    </row>
    <row r="520" spans="18:25" x14ac:dyDescent="0.15">
      <c r="R520" s="166">
        <v>1</v>
      </c>
      <c r="S520" s="1">
        <f>$U$517*$C$27</f>
        <v>132.03393845580345</v>
      </c>
      <c r="T520" s="167">
        <f>$U$517*(100%-$C$27)</f>
        <v>198.05090768370516</v>
      </c>
      <c r="U520" s="168">
        <f>U513*(1+$W$517)</f>
        <v>1.6111731102435991</v>
      </c>
      <c r="V520" s="169">
        <f>S520*$V$518</f>
        <v>10.562715076464276</v>
      </c>
      <c r="W520" s="170">
        <f t="shared" ref="W520:W531" si="159">T520*U520</f>
        <v>319.09429691932314</v>
      </c>
      <c r="X520" s="170">
        <f t="shared" ref="X520:X531" si="160">W520+V520</f>
        <v>329.6570119957874</v>
      </c>
    </row>
    <row r="521" spans="18:25" x14ac:dyDescent="0.15">
      <c r="R521" s="166">
        <v>2</v>
      </c>
      <c r="S521" s="1">
        <f t="shared" ref="S521:S531" si="161">$U$517*$C$27</f>
        <v>132.03393845580345</v>
      </c>
      <c r="T521" s="167">
        <f t="shared" ref="T521:T531" si="162">$U$517*(100%-$C$27)</f>
        <v>198.05090768370516</v>
      </c>
      <c r="U521" s="168">
        <f>U520*(1+$W$517)</f>
        <v>1.6205716200533526</v>
      </c>
      <c r="V521" s="169">
        <f t="shared" ref="V521:V531" si="163">S521*$V$518</f>
        <v>10.562715076464276</v>
      </c>
      <c r="W521" s="170">
        <f t="shared" si="159"/>
        <v>320.95568031801906</v>
      </c>
      <c r="X521" s="170">
        <f t="shared" si="160"/>
        <v>331.51839539448332</v>
      </c>
    </row>
    <row r="522" spans="18:25" x14ac:dyDescent="0.15">
      <c r="R522" s="166">
        <v>3</v>
      </c>
      <c r="S522" s="1">
        <f t="shared" si="161"/>
        <v>132.03393845580345</v>
      </c>
      <c r="T522" s="167">
        <f t="shared" si="162"/>
        <v>198.05090768370516</v>
      </c>
      <c r="U522" s="168">
        <f t="shared" ref="U522:U531" si="164">U521*(1+$W$517)</f>
        <v>1.6300249545036631</v>
      </c>
      <c r="V522" s="169">
        <f t="shared" si="163"/>
        <v>10.562715076464276</v>
      </c>
      <c r="W522" s="170">
        <f t="shared" si="159"/>
        <v>322.82792178654068</v>
      </c>
      <c r="X522" s="170">
        <f t="shared" si="160"/>
        <v>333.39063686300494</v>
      </c>
    </row>
    <row r="523" spans="18:25" x14ac:dyDescent="0.15">
      <c r="R523" s="166">
        <v>4</v>
      </c>
      <c r="S523" s="1">
        <f t="shared" si="161"/>
        <v>132.03393845580345</v>
      </c>
      <c r="T523" s="167">
        <f t="shared" si="162"/>
        <v>198.05090768370516</v>
      </c>
      <c r="U523" s="168">
        <f t="shared" si="164"/>
        <v>1.6395334334049338</v>
      </c>
      <c r="V523" s="169">
        <f t="shared" si="163"/>
        <v>10.562715076464276</v>
      </c>
      <c r="W523" s="170">
        <f t="shared" si="159"/>
        <v>324.7110846636287</v>
      </c>
      <c r="X523" s="170">
        <f t="shared" si="160"/>
        <v>335.27379974009295</v>
      </c>
    </row>
    <row r="524" spans="18:25" x14ac:dyDescent="0.15">
      <c r="R524" s="166">
        <v>5</v>
      </c>
      <c r="S524" s="1">
        <f t="shared" si="161"/>
        <v>132.03393845580345</v>
      </c>
      <c r="T524" s="167">
        <f t="shared" si="162"/>
        <v>198.05090768370516</v>
      </c>
      <c r="U524" s="168">
        <f t="shared" si="164"/>
        <v>1.6490973784331286</v>
      </c>
      <c r="V524" s="169">
        <f t="shared" si="163"/>
        <v>10.562715076464276</v>
      </c>
      <c r="W524" s="170">
        <f t="shared" si="159"/>
        <v>326.60523265749976</v>
      </c>
      <c r="X524" s="170">
        <f t="shared" si="160"/>
        <v>337.16794773396401</v>
      </c>
    </row>
    <row r="525" spans="18:25" x14ac:dyDescent="0.15">
      <c r="R525" s="166">
        <v>6</v>
      </c>
      <c r="S525" s="1">
        <f t="shared" si="161"/>
        <v>132.03393845580345</v>
      </c>
      <c r="T525" s="167">
        <f t="shared" si="162"/>
        <v>198.05090768370516</v>
      </c>
      <c r="U525" s="168">
        <f t="shared" si="164"/>
        <v>1.6587171131406546</v>
      </c>
      <c r="V525" s="169">
        <f t="shared" si="163"/>
        <v>10.562715076464276</v>
      </c>
      <c r="W525" s="170">
        <f t="shared" si="159"/>
        <v>328.51042984800171</v>
      </c>
      <c r="X525" s="170">
        <f t="shared" si="160"/>
        <v>339.07314492446596</v>
      </c>
    </row>
    <row r="526" spans="18:25" x14ac:dyDescent="0.15">
      <c r="R526" s="166">
        <v>7</v>
      </c>
      <c r="S526" s="1">
        <f t="shared" si="161"/>
        <v>132.03393845580345</v>
      </c>
      <c r="T526" s="167">
        <f t="shared" si="162"/>
        <v>198.05090768370516</v>
      </c>
      <c r="U526" s="168">
        <f t="shared" si="164"/>
        <v>1.6683929629673078</v>
      </c>
      <c r="V526" s="169">
        <f t="shared" si="163"/>
        <v>10.562715076464276</v>
      </c>
      <c r="W526" s="170">
        <f t="shared" si="159"/>
        <v>330.42674068878159</v>
      </c>
      <c r="X526" s="170">
        <f t="shared" si="160"/>
        <v>340.98945576524585</v>
      </c>
    </row>
    <row r="527" spans="18:25" x14ac:dyDescent="0.15">
      <c r="R527" s="166">
        <v>8</v>
      </c>
      <c r="S527" s="1">
        <f t="shared" si="161"/>
        <v>132.03393845580345</v>
      </c>
      <c r="T527" s="167">
        <f t="shared" si="162"/>
        <v>198.05090768370516</v>
      </c>
      <c r="U527" s="168">
        <f t="shared" si="164"/>
        <v>1.6781252552512831</v>
      </c>
      <c r="V527" s="169">
        <f t="shared" si="163"/>
        <v>10.562715076464276</v>
      </c>
      <c r="W527" s="170">
        <f t="shared" si="159"/>
        <v>332.35423000946605</v>
      </c>
      <c r="X527" s="170">
        <f t="shared" si="160"/>
        <v>342.91694508593031</v>
      </c>
    </row>
    <row r="528" spans="18:25" x14ac:dyDescent="0.15">
      <c r="R528" s="166">
        <v>9</v>
      </c>
      <c r="S528" s="1">
        <f t="shared" si="161"/>
        <v>132.03393845580345</v>
      </c>
      <c r="T528" s="167">
        <f t="shared" si="162"/>
        <v>198.05090768370516</v>
      </c>
      <c r="U528" s="168">
        <f t="shared" si="164"/>
        <v>1.6879143192402482</v>
      </c>
      <c r="V528" s="169">
        <f t="shared" si="163"/>
        <v>10.562715076464276</v>
      </c>
      <c r="W528" s="170">
        <f t="shared" si="159"/>
        <v>334.29296301785445</v>
      </c>
      <c r="X528" s="170">
        <f t="shared" si="160"/>
        <v>344.85567809431871</v>
      </c>
    </row>
    <row r="529" spans="18:25" x14ac:dyDescent="0.15">
      <c r="R529" s="166">
        <v>10</v>
      </c>
      <c r="S529" s="1">
        <f t="shared" si="161"/>
        <v>132.03393845580345</v>
      </c>
      <c r="T529" s="167">
        <f t="shared" si="162"/>
        <v>198.05090768370516</v>
      </c>
      <c r="U529" s="168">
        <f t="shared" si="164"/>
        <v>1.6977604861024822</v>
      </c>
      <c r="V529" s="169">
        <f t="shared" si="163"/>
        <v>10.562715076464276</v>
      </c>
      <c r="W529" s="170">
        <f t="shared" si="159"/>
        <v>336.24300530212508</v>
      </c>
      <c r="X529" s="170">
        <f t="shared" si="160"/>
        <v>346.80572037858934</v>
      </c>
    </row>
    <row r="530" spans="18:25" x14ac:dyDescent="0.15">
      <c r="R530" s="166">
        <v>11</v>
      </c>
      <c r="S530" s="1">
        <f t="shared" si="161"/>
        <v>132.03393845580345</v>
      </c>
      <c r="T530" s="167">
        <f t="shared" si="162"/>
        <v>198.05090768370516</v>
      </c>
      <c r="U530" s="168">
        <f t="shared" si="164"/>
        <v>1.7076640889380792</v>
      </c>
      <c r="V530" s="169">
        <f t="shared" si="163"/>
        <v>10.562715076464276</v>
      </c>
      <c r="W530" s="170">
        <f t="shared" si="159"/>
        <v>338.20442283305402</v>
      </c>
      <c r="X530" s="170">
        <f t="shared" si="160"/>
        <v>348.76713790951828</v>
      </c>
    </row>
    <row r="531" spans="18:25" x14ac:dyDescent="0.15">
      <c r="R531" s="166">
        <v>12</v>
      </c>
      <c r="S531" s="1">
        <f t="shared" si="161"/>
        <v>132.03393845580345</v>
      </c>
      <c r="T531" s="167">
        <f t="shared" si="162"/>
        <v>198.05090768370516</v>
      </c>
      <c r="U531" s="168">
        <f t="shared" si="164"/>
        <v>1.7176254627902172</v>
      </c>
      <c r="V531" s="169">
        <f t="shared" si="163"/>
        <v>10.562715076464276</v>
      </c>
      <c r="W531" s="170">
        <f t="shared" si="159"/>
        <v>340.17728196624665</v>
      </c>
      <c r="X531" s="170">
        <f t="shared" si="160"/>
        <v>350.73999704271091</v>
      </c>
    </row>
    <row r="532" spans="18:25" ht="16" x14ac:dyDescent="0.3">
      <c r="R532" s="198">
        <f>SUM(S532:T532)</f>
        <v>3961.0181536741038</v>
      </c>
      <c r="S532" s="118">
        <f>IF($C$17&gt;=S517,SUM(S520:S531),"")</f>
        <v>1584.4072614696418</v>
      </c>
      <c r="T532" s="119">
        <f>IF($C$17&gt;=S517,SUM(T520:T531),"")</f>
        <v>2376.6108922044618</v>
      </c>
      <c r="U532" s="184">
        <f>IF(Y533="",0,AVERAGE(U520:U531))</f>
        <v>1.6638833487557456</v>
      </c>
      <c r="V532" s="120">
        <f>IF($C$17&gt;=S517,SUM(V520:V531),"")</f>
        <v>126.75258091757128</v>
      </c>
      <c r="W532" s="121">
        <f>IF($C$17&gt;=S517,SUM(W520:W531),"")</f>
        <v>3954.4032900105412</v>
      </c>
      <c r="X532" s="121">
        <f>IF($C$17&gt;=S517,SUM(X520:X531),"")</f>
        <v>4081.1558709281117</v>
      </c>
    </row>
    <row r="533" spans="18:25" x14ac:dyDescent="0.15">
      <c r="W533" s="156" t="s">
        <v>53</v>
      </c>
      <c r="X533" s="117">
        <f>IF(AND($D$38="Yes",$D$40+1=S517,$C$17&gt;=S517),$B$40,0)</f>
        <v>0</v>
      </c>
      <c r="Y533" s="142">
        <f>IF(X532="","",IF($D$38="No",X532,IF($D$38="Yes",X532-X533,X532)))</f>
        <v>4081.1558709281117</v>
      </c>
    </row>
    <row r="534" spans="18:25" ht="14" thickBot="1" x14ac:dyDescent="0.2"/>
    <row r="535" spans="18:25" ht="17" thickBot="1" x14ac:dyDescent="0.25">
      <c r="R535" s="126" t="s">
        <v>48</v>
      </c>
      <c r="S535" s="127">
        <v>27</v>
      </c>
      <c r="T535" s="154" t="s">
        <v>66</v>
      </c>
      <c r="U535" s="143">
        <f>U517-($C$36*U517)</f>
        <v>329.09459160109009</v>
      </c>
      <c r="V535" s="155" t="s">
        <v>68</v>
      </c>
      <c r="W535" s="185">
        <f>ROUND($C$25/12,15)</f>
        <v>5.8333333333329997E-3</v>
      </c>
      <c r="X535" s="161">
        <f>IF(X550="",0,(U535*12-(U535*12)*$C$36)/POWER(1+0,S535))</f>
        <v>3937.2876939154417</v>
      </c>
    </row>
    <row r="536" spans="18:25" x14ac:dyDescent="0.15">
      <c r="U536" s="182" t="s">
        <v>76</v>
      </c>
      <c r="V536" s="166">
        <f>IF(S535&lt;=$C$31,$C$29,IF(AND(S535&gt;$C$31,$B$34="Yes"),AVERAGE(U538:U549),$D$34))</f>
        <v>0.08</v>
      </c>
    </row>
    <row r="537" spans="18:25" x14ac:dyDescent="0.15">
      <c r="R537" s="122" t="s">
        <v>70</v>
      </c>
      <c r="S537" s="124">
        <f>$C$27</f>
        <v>0.4</v>
      </c>
      <c r="T537" s="125">
        <f>100%-$S537</f>
        <v>0.6</v>
      </c>
      <c r="U537" s="112" t="s">
        <v>72</v>
      </c>
      <c r="V537" s="115" t="s">
        <v>71</v>
      </c>
      <c r="W537" s="115" t="s">
        <v>67</v>
      </c>
      <c r="X537" s="116" t="s">
        <v>69</v>
      </c>
    </row>
    <row r="538" spans="18:25" x14ac:dyDescent="0.15">
      <c r="R538" s="166">
        <v>1</v>
      </c>
      <c r="S538" s="1">
        <f>$U$535*$C$27</f>
        <v>131.63783664043603</v>
      </c>
      <c r="T538" s="167">
        <f>$U$535*(100%-$C$27)</f>
        <v>197.45675496065405</v>
      </c>
      <c r="U538" s="168">
        <f>U531*(1+$W$535)</f>
        <v>1.7276449446564928</v>
      </c>
      <c r="V538" s="169">
        <f>S538*$V$536</f>
        <v>10.531026931234884</v>
      </c>
      <c r="W538" s="170">
        <f t="shared" ref="W538:W549" si="165">T538*U538</f>
        <v>341.13516449604981</v>
      </c>
      <c r="X538" s="170">
        <f t="shared" ref="X538:X549" si="166">W538+V538</f>
        <v>351.66619142728467</v>
      </c>
    </row>
    <row r="539" spans="18:25" x14ac:dyDescent="0.15">
      <c r="R539" s="166">
        <v>2</v>
      </c>
      <c r="S539" s="1">
        <f t="shared" ref="S539:S549" si="167">$U$535*$C$27</f>
        <v>131.63783664043603</v>
      </c>
      <c r="T539" s="167">
        <f t="shared" ref="T539:T549" si="168">$U$535*(100%-$C$27)</f>
        <v>197.45675496065405</v>
      </c>
      <c r="U539" s="168">
        <f>U538*(1+$W$535)</f>
        <v>1.7377228735003216</v>
      </c>
      <c r="V539" s="169">
        <f t="shared" ref="V539:V549" si="169">S539*$V$536</f>
        <v>10.531026931234884</v>
      </c>
      <c r="W539" s="170">
        <f t="shared" si="165"/>
        <v>343.12511962227666</v>
      </c>
      <c r="X539" s="170">
        <f t="shared" si="166"/>
        <v>353.65614655351152</v>
      </c>
    </row>
    <row r="540" spans="18:25" x14ac:dyDescent="0.15">
      <c r="R540" s="166">
        <v>3</v>
      </c>
      <c r="S540" s="1">
        <f t="shared" si="167"/>
        <v>131.63783664043603</v>
      </c>
      <c r="T540" s="167">
        <f t="shared" si="168"/>
        <v>197.45675496065405</v>
      </c>
      <c r="U540" s="168">
        <f t="shared" ref="U540:U549" si="170">U539*(1+$W$535)</f>
        <v>1.7478595902624061</v>
      </c>
      <c r="V540" s="169">
        <f t="shared" si="169"/>
        <v>10.531026931234884</v>
      </c>
      <c r="W540" s="170">
        <f t="shared" si="165"/>
        <v>345.12668282007314</v>
      </c>
      <c r="X540" s="170">
        <f t="shared" si="166"/>
        <v>355.657709751308</v>
      </c>
    </row>
    <row r="541" spans="18:25" x14ac:dyDescent="0.15">
      <c r="R541" s="166">
        <v>4</v>
      </c>
      <c r="S541" s="1">
        <f t="shared" si="167"/>
        <v>131.63783664043603</v>
      </c>
      <c r="T541" s="167">
        <f t="shared" si="168"/>
        <v>197.45675496065405</v>
      </c>
      <c r="U541" s="168">
        <f t="shared" si="170"/>
        <v>1.7580554378722695</v>
      </c>
      <c r="V541" s="169">
        <f t="shared" si="169"/>
        <v>10.531026931234884</v>
      </c>
      <c r="W541" s="170">
        <f t="shared" si="165"/>
        <v>347.13992180319008</v>
      </c>
      <c r="X541" s="170">
        <f t="shared" si="166"/>
        <v>357.67094873442494</v>
      </c>
    </row>
    <row r="542" spans="18:25" x14ac:dyDescent="0.15">
      <c r="R542" s="166">
        <v>5</v>
      </c>
      <c r="S542" s="1">
        <f t="shared" si="167"/>
        <v>131.63783664043603</v>
      </c>
      <c r="T542" s="167">
        <f t="shared" si="168"/>
        <v>197.45675496065405</v>
      </c>
      <c r="U542" s="168">
        <f t="shared" si="170"/>
        <v>1.768310761259857</v>
      </c>
      <c r="V542" s="169">
        <f t="shared" si="169"/>
        <v>10.531026931234884</v>
      </c>
      <c r="W542" s="170">
        <f t="shared" si="165"/>
        <v>349.16490468037523</v>
      </c>
      <c r="X542" s="170">
        <f t="shared" si="166"/>
        <v>359.69593161161009</v>
      </c>
    </row>
    <row r="543" spans="18:25" x14ac:dyDescent="0.15">
      <c r="R543" s="166">
        <v>6</v>
      </c>
      <c r="S543" s="1">
        <f t="shared" si="167"/>
        <v>131.63783664043603</v>
      </c>
      <c r="T543" s="167">
        <f t="shared" si="168"/>
        <v>197.45675496065405</v>
      </c>
      <c r="U543" s="168">
        <f t="shared" si="170"/>
        <v>1.7786259073672055</v>
      </c>
      <c r="V543" s="169">
        <f t="shared" si="169"/>
        <v>10.531026931234884</v>
      </c>
      <c r="W543" s="170">
        <f t="shared" si="165"/>
        <v>351.20169995767725</v>
      </c>
      <c r="X543" s="170">
        <f t="shared" si="166"/>
        <v>361.73272688891211</v>
      </c>
    </row>
    <row r="544" spans="18:25" x14ac:dyDescent="0.15">
      <c r="R544" s="166">
        <v>7</v>
      </c>
      <c r="S544" s="1">
        <f t="shared" si="167"/>
        <v>131.63783664043603</v>
      </c>
      <c r="T544" s="167">
        <f t="shared" si="168"/>
        <v>197.45675496065405</v>
      </c>
      <c r="U544" s="168">
        <f t="shared" si="170"/>
        <v>1.7890012251601801</v>
      </c>
      <c r="V544" s="169">
        <f t="shared" si="169"/>
        <v>10.531026931234884</v>
      </c>
      <c r="W544" s="170">
        <f t="shared" si="165"/>
        <v>353.25037654076357</v>
      </c>
      <c r="X544" s="170">
        <f t="shared" si="166"/>
        <v>363.78140347199843</v>
      </c>
    </row>
    <row r="545" spans="18:25" x14ac:dyDescent="0.15">
      <c r="R545" s="166">
        <v>8</v>
      </c>
      <c r="S545" s="1">
        <f t="shared" si="167"/>
        <v>131.63783664043603</v>
      </c>
      <c r="T545" s="167">
        <f t="shared" si="168"/>
        <v>197.45675496065405</v>
      </c>
      <c r="U545" s="168">
        <f t="shared" si="170"/>
        <v>1.7994370656402805</v>
      </c>
      <c r="V545" s="169">
        <f t="shared" si="169"/>
        <v>10.531026931234884</v>
      </c>
      <c r="W545" s="170">
        <f t="shared" si="165"/>
        <v>355.31100373725121</v>
      </c>
      <c r="X545" s="170">
        <f t="shared" si="166"/>
        <v>365.84203066848607</v>
      </c>
    </row>
    <row r="546" spans="18:25" x14ac:dyDescent="0.15">
      <c r="R546" s="166">
        <v>9</v>
      </c>
      <c r="S546" s="1">
        <f t="shared" si="167"/>
        <v>131.63783664043603</v>
      </c>
      <c r="T546" s="167">
        <f t="shared" si="168"/>
        <v>197.45675496065405</v>
      </c>
      <c r="U546" s="168">
        <f t="shared" si="170"/>
        <v>1.8099337818565147</v>
      </c>
      <c r="V546" s="169">
        <f t="shared" si="169"/>
        <v>10.531026931234884</v>
      </c>
      <c r="W546" s="170">
        <f t="shared" si="165"/>
        <v>357.3836512590517</v>
      </c>
      <c r="X546" s="170">
        <f t="shared" si="166"/>
        <v>367.91467819028657</v>
      </c>
    </row>
    <row r="547" spans="18:25" x14ac:dyDescent="0.15">
      <c r="R547" s="166">
        <v>10</v>
      </c>
      <c r="S547" s="1">
        <f t="shared" si="167"/>
        <v>131.63783664043603</v>
      </c>
      <c r="T547" s="167">
        <f t="shared" si="168"/>
        <v>197.45675496065405</v>
      </c>
      <c r="U547" s="168">
        <f t="shared" si="170"/>
        <v>1.8204917289173435</v>
      </c>
      <c r="V547" s="169">
        <f t="shared" si="169"/>
        <v>10.531026931234884</v>
      </c>
      <c r="W547" s="170">
        <f t="shared" si="165"/>
        <v>359.46838922472932</v>
      </c>
      <c r="X547" s="170">
        <f t="shared" si="166"/>
        <v>369.99941615596418</v>
      </c>
    </row>
    <row r="548" spans="18:25" x14ac:dyDescent="0.15">
      <c r="R548" s="166">
        <v>11</v>
      </c>
      <c r="S548" s="1">
        <f t="shared" si="167"/>
        <v>131.63783664043603</v>
      </c>
      <c r="T548" s="167">
        <f t="shared" si="168"/>
        <v>197.45675496065405</v>
      </c>
      <c r="U548" s="168">
        <f t="shared" si="170"/>
        <v>1.8311112640026939</v>
      </c>
      <c r="V548" s="169">
        <f t="shared" si="169"/>
        <v>10.531026931234884</v>
      </c>
      <c r="W548" s="170">
        <f t="shared" si="165"/>
        <v>361.56528816187341</v>
      </c>
      <c r="X548" s="170">
        <f t="shared" si="166"/>
        <v>372.09631509310827</v>
      </c>
    </row>
    <row r="549" spans="18:25" x14ac:dyDescent="0.15">
      <c r="R549" s="166">
        <v>12</v>
      </c>
      <c r="S549" s="1">
        <f t="shared" si="167"/>
        <v>131.63783664043603</v>
      </c>
      <c r="T549" s="167">
        <f t="shared" si="168"/>
        <v>197.45675496065405</v>
      </c>
      <c r="U549" s="168">
        <f t="shared" si="170"/>
        <v>1.8417927463760422</v>
      </c>
      <c r="V549" s="169">
        <f t="shared" si="169"/>
        <v>10.531026931234884</v>
      </c>
      <c r="W549" s="170">
        <f t="shared" si="165"/>
        <v>363.67441900948421</v>
      </c>
      <c r="X549" s="170">
        <f t="shared" si="166"/>
        <v>374.20544594071907</v>
      </c>
    </row>
    <row r="550" spans="18:25" ht="16" x14ac:dyDescent="0.3">
      <c r="R550" s="198">
        <f>SUM(S550:T550)</f>
        <v>3949.135099213081</v>
      </c>
      <c r="S550" s="118">
        <f>IF($C$17&gt;=S535,SUM(S538:S549),"")</f>
        <v>1579.6540396852324</v>
      </c>
      <c r="T550" s="119">
        <f>IF($C$17&gt;=S535,SUM(T538:T549),"")</f>
        <v>2369.4810595278486</v>
      </c>
      <c r="U550" s="184">
        <f>IF(Y551="",0,AVERAGE(U538:U549))</f>
        <v>1.784165610572634</v>
      </c>
      <c r="V550" s="120">
        <f>IF($C$17&gt;=S535,SUM(V538:V549),"")</f>
        <v>126.37232317481863</v>
      </c>
      <c r="W550" s="121">
        <f>IF($C$17&gt;=S535,SUM(W538:W549),"")</f>
        <v>4227.5466213127957</v>
      </c>
      <c r="X550" s="121">
        <f>IF($C$17&gt;=S535,SUM(X538:X549),"")</f>
        <v>4353.9189444876138</v>
      </c>
    </row>
    <row r="551" spans="18:25" x14ac:dyDescent="0.15">
      <c r="W551" s="156" t="s">
        <v>53</v>
      </c>
      <c r="X551" s="117">
        <f>IF(AND($D$38="Yes",$D$40+1=S535,$C$17&gt;=S535),$B$40,0)</f>
        <v>0</v>
      </c>
      <c r="Y551" s="142">
        <f>IF(X550="","",IF($D$38="No",X550,IF($D$38="Yes",X550-X551,X550)))</f>
        <v>4353.9189444876138</v>
      </c>
    </row>
    <row r="552" spans="18:25" ht="14" thickBot="1" x14ac:dyDescent="0.2"/>
    <row r="553" spans="18:25" ht="17" thickBot="1" x14ac:dyDescent="0.25">
      <c r="R553" s="126" t="s">
        <v>48</v>
      </c>
      <c r="S553" s="127">
        <v>28</v>
      </c>
      <c r="T553" s="154" t="s">
        <v>66</v>
      </c>
      <c r="U553" s="143">
        <f>U535-($C$36*U535)</f>
        <v>328.10730782628684</v>
      </c>
      <c r="V553" s="155" t="s">
        <v>68</v>
      </c>
      <c r="W553" s="185">
        <f>ROUND($C$25/12,15)</f>
        <v>5.8333333333329997E-3</v>
      </c>
      <c r="X553" s="161">
        <f>IF(X568="",0,(U553*12-(U553*12)*$C$36)/POWER(1+0,S553))</f>
        <v>3925.4758308336959</v>
      </c>
    </row>
    <row r="554" spans="18:25" x14ac:dyDescent="0.15">
      <c r="U554" s="182" t="s">
        <v>76</v>
      </c>
      <c r="V554" s="166">
        <f>IF(S553&lt;=$C$31,$C$29,IF(AND(S553&gt;$C$31,$B$34="Yes"),AVERAGE(U556:U567),$D$34))</f>
        <v>0.08</v>
      </c>
    </row>
    <row r="555" spans="18:25" x14ac:dyDescent="0.15">
      <c r="R555" s="122" t="s">
        <v>70</v>
      </c>
      <c r="S555" s="124">
        <f>$C$27</f>
        <v>0.4</v>
      </c>
      <c r="T555" s="125">
        <f>100%-$S555</f>
        <v>0.6</v>
      </c>
      <c r="U555" s="112" t="s">
        <v>72</v>
      </c>
      <c r="V555" s="115" t="s">
        <v>71</v>
      </c>
      <c r="W555" s="115" t="s">
        <v>67</v>
      </c>
      <c r="X555" s="116" t="s">
        <v>69</v>
      </c>
    </row>
    <row r="556" spans="18:25" x14ac:dyDescent="0.15">
      <c r="R556" s="166">
        <v>1</v>
      </c>
      <c r="S556" s="1">
        <f>$U$553*$C$27</f>
        <v>131.24292313051475</v>
      </c>
      <c r="T556" s="167">
        <f>$U$553*(100%-$C$27)</f>
        <v>196.86438469577209</v>
      </c>
      <c r="U556" s="168">
        <f>U549*(1+$W$553)</f>
        <v>1.8525365373965683</v>
      </c>
      <c r="V556" s="169">
        <f>S556*$V$554</f>
        <v>10.49943385044118</v>
      </c>
      <c r="W556" s="170">
        <f t="shared" ref="W556:W567" si="171">T556*U556</f>
        <v>364.69846556101157</v>
      </c>
      <c r="X556" s="170">
        <f t="shared" ref="X556:X567" si="172">W556+V556</f>
        <v>375.19789941145274</v>
      </c>
    </row>
    <row r="557" spans="18:25" x14ac:dyDescent="0.15">
      <c r="R557" s="166">
        <v>2</v>
      </c>
      <c r="S557" s="1">
        <f t="shared" ref="S557:S567" si="173">$U$553*$C$27</f>
        <v>131.24292313051475</v>
      </c>
      <c r="T557" s="167">
        <f t="shared" ref="T557:T567" si="174">$U$553*(100%-$C$27)</f>
        <v>196.86438469577209</v>
      </c>
      <c r="U557" s="168">
        <f>U556*(1+$W$553)</f>
        <v>1.8633430005313809</v>
      </c>
      <c r="V557" s="169">
        <f t="shared" ref="V557:V567" si="175">S557*$V$554</f>
        <v>10.49943385044118</v>
      </c>
      <c r="W557" s="170">
        <f t="shared" si="171"/>
        <v>366.82587327678402</v>
      </c>
      <c r="X557" s="170">
        <f t="shared" si="172"/>
        <v>377.32530712722519</v>
      </c>
    </row>
    <row r="558" spans="18:25" x14ac:dyDescent="0.15">
      <c r="R558" s="166">
        <v>3</v>
      </c>
      <c r="S558" s="1">
        <f t="shared" si="173"/>
        <v>131.24292313051475</v>
      </c>
      <c r="T558" s="167">
        <f t="shared" si="174"/>
        <v>196.86438469577209</v>
      </c>
      <c r="U558" s="168">
        <f t="shared" ref="U558:U567" si="176">U557*(1+$W$553)</f>
        <v>1.8742125013678133</v>
      </c>
      <c r="V558" s="169">
        <f t="shared" si="175"/>
        <v>10.49943385044118</v>
      </c>
      <c r="W558" s="170">
        <f t="shared" si="171"/>
        <v>368.96569087089847</v>
      </c>
      <c r="X558" s="170">
        <f t="shared" si="172"/>
        <v>379.46512472133963</v>
      </c>
    </row>
    <row r="559" spans="18:25" x14ac:dyDescent="0.15">
      <c r="R559" s="166">
        <v>4</v>
      </c>
      <c r="S559" s="1">
        <f t="shared" si="173"/>
        <v>131.24292313051475</v>
      </c>
      <c r="T559" s="167">
        <f t="shared" si="174"/>
        <v>196.86438469577209</v>
      </c>
      <c r="U559" s="168">
        <f t="shared" si="176"/>
        <v>1.8851454076257914</v>
      </c>
      <c r="V559" s="169">
        <f t="shared" si="175"/>
        <v>10.49943385044118</v>
      </c>
      <c r="W559" s="170">
        <f t="shared" si="171"/>
        <v>371.11799073431189</v>
      </c>
      <c r="X559" s="170">
        <f t="shared" si="172"/>
        <v>381.61742458475305</v>
      </c>
    </row>
    <row r="560" spans="18:25" x14ac:dyDescent="0.15">
      <c r="R560" s="166">
        <v>5</v>
      </c>
      <c r="S560" s="1">
        <f t="shared" si="173"/>
        <v>131.24292313051475</v>
      </c>
      <c r="T560" s="167">
        <f t="shared" si="174"/>
        <v>196.86438469577209</v>
      </c>
      <c r="U560" s="168">
        <f t="shared" si="176"/>
        <v>1.8961420891702745</v>
      </c>
      <c r="V560" s="169">
        <f t="shared" si="175"/>
        <v>10.49943385044118</v>
      </c>
      <c r="W560" s="170">
        <f t="shared" si="171"/>
        <v>373.28284568026191</v>
      </c>
      <c r="X560" s="170">
        <f t="shared" si="172"/>
        <v>383.78227953070308</v>
      </c>
    </row>
    <row r="561" spans="18:25" x14ac:dyDescent="0.15">
      <c r="R561" s="166">
        <v>6</v>
      </c>
      <c r="S561" s="1">
        <f t="shared" si="173"/>
        <v>131.24292313051475</v>
      </c>
      <c r="T561" s="167">
        <f t="shared" si="174"/>
        <v>196.86438469577209</v>
      </c>
      <c r="U561" s="168">
        <f t="shared" si="176"/>
        <v>1.9072029180237671</v>
      </c>
      <c r="V561" s="169">
        <f t="shared" si="175"/>
        <v>10.49943385044118</v>
      </c>
      <c r="W561" s="170">
        <f t="shared" si="171"/>
        <v>375.46032894672993</v>
      </c>
      <c r="X561" s="170">
        <f t="shared" si="172"/>
        <v>385.95976279717109</v>
      </c>
    </row>
    <row r="562" spans="18:25" x14ac:dyDescent="0.15">
      <c r="R562" s="166">
        <v>7</v>
      </c>
      <c r="S562" s="1">
        <f t="shared" si="173"/>
        <v>131.24292313051475</v>
      </c>
      <c r="T562" s="167">
        <f t="shared" si="174"/>
        <v>196.86438469577209</v>
      </c>
      <c r="U562" s="168">
        <f t="shared" si="176"/>
        <v>1.9183282683789049</v>
      </c>
      <c r="V562" s="169">
        <f t="shared" si="175"/>
        <v>10.49943385044118</v>
      </c>
      <c r="W562" s="170">
        <f t="shared" si="171"/>
        <v>377.65051419891904</v>
      </c>
      <c r="X562" s="170">
        <f t="shared" si="172"/>
        <v>388.14994804936021</v>
      </c>
    </row>
    <row r="563" spans="18:25" x14ac:dyDescent="0.15">
      <c r="R563" s="166">
        <v>8</v>
      </c>
      <c r="S563" s="1">
        <f t="shared" si="173"/>
        <v>131.24292313051475</v>
      </c>
      <c r="T563" s="167">
        <f t="shared" si="174"/>
        <v>196.86438469577209</v>
      </c>
      <c r="U563" s="168">
        <f t="shared" si="176"/>
        <v>1.9295185166111144</v>
      </c>
      <c r="V563" s="169">
        <f t="shared" si="175"/>
        <v>10.49943385044118</v>
      </c>
      <c r="W563" s="170">
        <f t="shared" si="171"/>
        <v>379.85347553174591</v>
      </c>
      <c r="X563" s="170">
        <f t="shared" si="172"/>
        <v>390.35290938218708</v>
      </c>
    </row>
    <row r="564" spans="18:25" x14ac:dyDescent="0.15">
      <c r="R564" s="166">
        <v>9</v>
      </c>
      <c r="S564" s="1">
        <f t="shared" si="173"/>
        <v>131.24292313051475</v>
      </c>
      <c r="T564" s="167">
        <f t="shared" si="174"/>
        <v>196.86438469577209</v>
      </c>
      <c r="U564" s="168">
        <f t="shared" si="176"/>
        <v>1.940774041291345</v>
      </c>
      <c r="V564" s="169">
        <f t="shared" si="175"/>
        <v>10.49943385044118</v>
      </c>
      <c r="W564" s="170">
        <f t="shared" si="171"/>
        <v>382.06928747234758</v>
      </c>
      <c r="X564" s="170">
        <f t="shared" si="172"/>
        <v>392.56872132278875</v>
      </c>
    </row>
    <row r="565" spans="18:25" x14ac:dyDescent="0.15">
      <c r="R565" s="166">
        <v>10</v>
      </c>
      <c r="S565" s="1">
        <f t="shared" si="173"/>
        <v>131.24292313051475</v>
      </c>
      <c r="T565" s="167">
        <f t="shared" si="174"/>
        <v>196.86438469577209</v>
      </c>
      <c r="U565" s="168">
        <f t="shared" si="176"/>
        <v>1.9520952231988771</v>
      </c>
      <c r="V565" s="169">
        <f t="shared" si="175"/>
        <v>10.49943385044118</v>
      </c>
      <c r="W565" s="170">
        <f t="shared" si="171"/>
        <v>384.29802498260284</v>
      </c>
      <c r="X565" s="170">
        <f t="shared" si="172"/>
        <v>394.797458833044</v>
      </c>
    </row>
    <row r="566" spans="18:25" x14ac:dyDescent="0.15">
      <c r="R566" s="166">
        <v>11</v>
      </c>
      <c r="S566" s="1">
        <f t="shared" si="173"/>
        <v>131.24292313051475</v>
      </c>
      <c r="T566" s="167">
        <f t="shared" si="174"/>
        <v>196.86438469577209</v>
      </c>
      <c r="U566" s="168">
        <f t="shared" si="176"/>
        <v>1.963482445334203</v>
      </c>
      <c r="V566" s="169">
        <f t="shared" si="175"/>
        <v>10.49943385044118</v>
      </c>
      <c r="W566" s="170">
        <f t="shared" si="171"/>
        <v>386.53976346166786</v>
      </c>
      <c r="X566" s="170">
        <f t="shared" si="172"/>
        <v>397.03919731210902</v>
      </c>
    </row>
    <row r="567" spans="18:25" x14ac:dyDescent="0.15">
      <c r="R567" s="166">
        <v>12</v>
      </c>
      <c r="S567" s="1">
        <f t="shared" si="173"/>
        <v>131.24292313051475</v>
      </c>
      <c r="T567" s="167">
        <f t="shared" si="174"/>
        <v>196.86438469577209</v>
      </c>
      <c r="U567" s="168">
        <f t="shared" si="176"/>
        <v>1.974936092931985</v>
      </c>
      <c r="V567" s="169">
        <f t="shared" si="175"/>
        <v>10.49943385044118</v>
      </c>
      <c r="W567" s="170">
        <f t="shared" si="171"/>
        <v>388.79457874852739</v>
      </c>
      <c r="X567" s="170">
        <f t="shared" si="172"/>
        <v>399.29401259896855</v>
      </c>
    </row>
    <row r="568" spans="18:25" ht="16" x14ac:dyDescent="0.3">
      <c r="R568" s="198">
        <f>SUM(S568:T568)</f>
        <v>3937.2876939154421</v>
      </c>
      <c r="S568" s="118">
        <f>IF($C$17&gt;=S553,SUM(S556:S567),"")</f>
        <v>1574.9150775661772</v>
      </c>
      <c r="T568" s="119">
        <f>IF($C$17&gt;=S553,SUM(T556:T567),"")</f>
        <v>2362.3726163492652</v>
      </c>
      <c r="U568" s="184">
        <f>IF(Y569="",0,AVERAGE(U556:U567))</f>
        <v>1.9131430868218355</v>
      </c>
      <c r="V568" s="120">
        <f>IF($C$17&gt;=S553,SUM(V556:V567),"")</f>
        <v>125.99320620529416</v>
      </c>
      <c r="W568" s="121">
        <f>IF($C$17&gt;=S553,SUM(W556:W567),"")</f>
        <v>4519.5568394658085</v>
      </c>
      <c r="X568" s="121">
        <f>IF($C$17&gt;=S553,SUM(X556:X567),"")</f>
        <v>4645.5500456711025</v>
      </c>
    </row>
    <row r="569" spans="18:25" x14ac:dyDescent="0.15">
      <c r="W569" s="156" t="s">
        <v>53</v>
      </c>
      <c r="X569" s="117">
        <f>IF(AND($D$38="Yes",$D$40+1=S553,$C$17&gt;=S553),$B$40,0)</f>
        <v>0</v>
      </c>
      <c r="Y569" s="142">
        <f>IF(X568="","",IF($D$38="No",X568,IF($D$38="Yes",X568-X569,X568)))</f>
        <v>4645.5500456711025</v>
      </c>
    </row>
    <row r="570" spans="18:25" ht="14" thickBot="1" x14ac:dyDescent="0.2"/>
    <row r="571" spans="18:25" ht="17" thickBot="1" x14ac:dyDescent="0.25">
      <c r="R571" s="126" t="s">
        <v>48</v>
      </c>
      <c r="S571" s="127">
        <v>29</v>
      </c>
      <c r="T571" s="154" t="s">
        <v>66</v>
      </c>
      <c r="U571" s="143">
        <f>U553-($C$36*U553)</f>
        <v>327.12298590280795</v>
      </c>
      <c r="V571" s="155" t="s">
        <v>68</v>
      </c>
      <c r="W571" s="185">
        <f>ROUND($C$25/12,15)</f>
        <v>5.8333333333329997E-3</v>
      </c>
      <c r="X571" s="161">
        <f>IF(X586="",0,(U571*12-(U571*12)*$C$36)/POWER(1+0,S571))</f>
        <v>3913.6994033411943</v>
      </c>
    </row>
    <row r="572" spans="18:25" x14ac:dyDescent="0.15">
      <c r="U572" s="182" t="s">
        <v>76</v>
      </c>
      <c r="V572" s="166">
        <f>IF(S571&lt;=$C$31,$C$29,IF(AND(S571&gt;$C$31,$B$34="Yes"),AVERAGE(U574:U585),$D$34))</f>
        <v>0.08</v>
      </c>
    </row>
    <row r="573" spans="18:25" x14ac:dyDescent="0.15">
      <c r="R573" s="122" t="s">
        <v>70</v>
      </c>
      <c r="S573" s="124">
        <f>$C$27</f>
        <v>0.4</v>
      </c>
      <c r="T573" s="125">
        <f>100%-$S573</f>
        <v>0.6</v>
      </c>
      <c r="U573" t="s">
        <v>72</v>
      </c>
      <c r="V573" s="114" t="s">
        <v>71</v>
      </c>
      <c r="W573" s="114" t="s">
        <v>67</v>
      </c>
      <c r="X573" s="123" t="s">
        <v>69</v>
      </c>
    </row>
    <row r="574" spans="18:25" x14ac:dyDescent="0.15">
      <c r="R574" s="166">
        <v>1</v>
      </c>
      <c r="S574" s="1">
        <f>$U$571*$C$27</f>
        <v>130.84919436112318</v>
      </c>
      <c r="T574" s="167">
        <f>$U$571*(100%-$C$27)</f>
        <v>196.27379154168477</v>
      </c>
      <c r="U574" s="168">
        <f>U567*(1+$W$571)</f>
        <v>1.9864565534740874</v>
      </c>
      <c r="V574" s="169">
        <f>S574*$V$572</f>
        <v>10.467935548889855</v>
      </c>
      <c r="W574" s="170">
        <f t="shared" ref="W574:W585" si="177">T574*U574</f>
        <v>389.88935948318664</v>
      </c>
      <c r="X574" s="170">
        <f t="shared" ref="X574:X585" si="178">W574+V574</f>
        <v>400.35729503207648</v>
      </c>
    </row>
    <row r="575" spans="18:25" x14ac:dyDescent="0.15">
      <c r="R575" s="166">
        <v>2</v>
      </c>
      <c r="S575" s="1">
        <f t="shared" ref="S575:S585" si="179">$U$571*$C$27</f>
        <v>130.84919436112318</v>
      </c>
      <c r="T575" s="167">
        <f t="shared" ref="T575:T585" si="180">$U$571*(100%-$C$27)</f>
        <v>196.27379154168477</v>
      </c>
      <c r="U575" s="168">
        <f>U574*(1+$W$571)</f>
        <v>1.9980442167026855</v>
      </c>
      <c r="V575" s="169">
        <f t="shared" ref="V575:V585" si="181">S575*$V$572</f>
        <v>10.467935548889855</v>
      </c>
      <c r="W575" s="170">
        <f t="shared" si="177"/>
        <v>392.16371408017176</v>
      </c>
      <c r="X575" s="170">
        <f t="shared" si="178"/>
        <v>402.6316496290616</v>
      </c>
    </row>
    <row r="576" spans="18:25" x14ac:dyDescent="0.15">
      <c r="R576" s="166">
        <v>3</v>
      </c>
      <c r="S576" s="1">
        <f t="shared" si="179"/>
        <v>130.84919436112318</v>
      </c>
      <c r="T576" s="167">
        <f t="shared" si="180"/>
        <v>196.27379154168477</v>
      </c>
      <c r="U576" s="168">
        <f t="shared" ref="U576:U585" si="182">U575*(1+$W$571)</f>
        <v>2.0096994746334502</v>
      </c>
      <c r="V576" s="169">
        <f t="shared" si="181"/>
        <v>10.467935548889855</v>
      </c>
      <c r="W576" s="170">
        <f t="shared" si="177"/>
        <v>394.4513357456392</v>
      </c>
      <c r="X576" s="170">
        <f t="shared" si="178"/>
        <v>404.91927129452904</v>
      </c>
    </row>
    <row r="577" spans="18:25" x14ac:dyDescent="0.15">
      <c r="R577" s="166">
        <v>4</v>
      </c>
      <c r="S577" s="1">
        <f t="shared" si="179"/>
        <v>130.84919436112318</v>
      </c>
      <c r="T577" s="167">
        <f t="shared" si="180"/>
        <v>196.27379154168477</v>
      </c>
      <c r="U577" s="168">
        <f t="shared" si="182"/>
        <v>2.0214227215688112</v>
      </c>
      <c r="V577" s="169">
        <f t="shared" si="181"/>
        <v>10.467935548889855</v>
      </c>
      <c r="W577" s="170">
        <f t="shared" si="177"/>
        <v>396.75230187082195</v>
      </c>
      <c r="X577" s="170">
        <f t="shared" si="178"/>
        <v>407.22023741971179</v>
      </c>
    </row>
    <row r="578" spans="18:25" x14ac:dyDescent="0.15">
      <c r="R578" s="166">
        <v>5</v>
      </c>
      <c r="S578" s="1">
        <f t="shared" si="179"/>
        <v>130.84919436112318</v>
      </c>
      <c r="T578" s="167">
        <f t="shared" si="180"/>
        <v>196.27379154168477</v>
      </c>
      <c r="U578" s="168">
        <f t="shared" si="182"/>
        <v>2.033214354111295</v>
      </c>
      <c r="V578" s="169">
        <f t="shared" si="181"/>
        <v>10.467935548889855</v>
      </c>
      <c r="W578" s="170">
        <f t="shared" si="177"/>
        <v>399.06669029840157</v>
      </c>
      <c r="X578" s="170">
        <f t="shared" si="178"/>
        <v>409.53462584729141</v>
      </c>
    </row>
    <row r="579" spans="18:25" x14ac:dyDescent="0.15">
      <c r="R579" s="166">
        <v>6</v>
      </c>
      <c r="S579" s="1">
        <f t="shared" si="179"/>
        <v>130.84919436112318</v>
      </c>
      <c r="T579" s="167">
        <f t="shared" si="180"/>
        <v>196.27379154168477</v>
      </c>
      <c r="U579" s="168">
        <f t="shared" si="182"/>
        <v>2.0450747711769433</v>
      </c>
      <c r="V579" s="169">
        <f t="shared" si="181"/>
        <v>10.467935548889855</v>
      </c>
      <c r="W579" s="170">
        <f t="shared" si="177"/>
        <v>401.39457932514205</v>
      </c>
      <c r="X579" s="170">
        <f t="shared" si="178"/>
        <v>411.86251487403189</v>
      </c>
    </row>
    <row r="580" spans="18:25" x14ac:dyDescent="0.15">
      <c r="R580" s="166">
        <v>7</v>
      </c>
      <c r="S580" s="1">
        <f t="shared" si="179"/>
        <v>130.84919436112318</v>
      </c>
      <c r="T580" s="167">
        <f t="shared" si="180"/>
        <v>196.27379154168477</v>
      </c>
      <c r="U580" s="168">
        <f t="shared" si="182"/>
        <v>2.057004374008808</v>
      </c>
      <c r="V580" s="169">
        <f t="shared" si="181"/>
        <v>10.467935548889855</v>
      </c>
      <c r="W580" s="170">
        <f t="shared" si="177"/>
        <v>403.73604770453858</v>
      </c>
      <c r="X580" s="170">
        <f t="shared" si="178"/>
        <v>414.20398325342842</v>
      </c>
    </row>
    <row r="581" spans="18:25" x14ac:dyDescent="0.15">
      <c r="R581" s="166">
        <v>8</v>
      </c>
      <c r="S581" s="1">
        <f t="shared" si="179"/>
        <v>130.84919436112318</v>
      </c>
      <c r="T581" s="167">
        <f t="shared" si="180"/>
        <v>196.27379154168477</v>
      </c>
      <c r="U581" s="168">
        <f t="shared" si="182"/>
        <v>2.0690035661905251</v>
      </c>
      <c r="V581" s="169">
        <f t="shared" si="181"/>
        <v>10.467935548889855</v>
      </c>
      <c r="W581" s="170">
        <f t="shared" si="177"/>
        <v>406.0911746494815</v>
      </c>
      <c r="X581" s="170">
        <f t="shared" si="178"/>
        <v>416.55911019837134</v>
      </c>
    </row>
    <row r="582" spans="18:25" x14ac:dyDescent="0.15">
      <c r="R582" s="166">
        <v>9</v>
      </c>
      <c r="S582" s="1">
        <f t="shared" si="179"/>
        <v>130.84919436112318</v>
      </c>
      <c r="T582" s="167">
        <f t="shared" si="180"/>
        <v>196.27379154168477</v>
      </c>
      <c r="U582" s="168">
        <f t="shared" si="182"/>
        <v>2.0810727536599689</v>
      </c>
      <c r="V582" s="169">
        <f t="shared" si="181"/>
        <v>10.467935548889855</v>
      </c>
      <c r="W582" s="170">
        <f t="shared" si="177"/>
        <v>408.46003983493665</v>
      </c>
      <c r="X582" s="170">
        <f t="shared" si="178"/>
        <v>418.92797538382649</v>
      </c>
    </row>
    <row r="583" spans="18:25" x14ac:dyDescent="0.15">
      <c r="R583" s="166">
        <v>10</v>
      </c>
      <c r="S583" s="1">
        <f t="shared" si="179"/>
        <v>130.84919436112318</v>
      </c>
      <c r="T583" s="167">
        <f t="shared" si="180"/>
        <v>196.27379154168477</v>
      </c>
      <c r="U583" s="168">
        <f t="shared" si="182"/>
        <v>2.0932123447229847</v>
      </c>
      <c r="V583" s="169">
        <f t="shared" si="181"/>
        <v>10.467935548889855</v>
      </c>
      <c r="W583" s="170">
        <f t="shared" si="177"/>
        <v>410.8427234006403</v>
      </c>
      <c r="X583" s="170">
        <f t="shared" si="178"/>
        <v>421.31065894953014</v>
      </c>
    </row>
    <row r="584" spans="18:25" x14ac:dyDescent="0.15">
      <c r="R584" s="166">
        <v>11</v>
      </c>
      <c r="S584" s="1">
        <f t="shared" si="179"/>
        <v>130.84919436112318</v>
      </c>
      <c r="T584" s="167">
        <f t="shared" si="180"/>
        <v>196.27379154168477</v>
      </c>
      <c r="U584" s="168">
        <f t="shared" si="182"/>
        <v>2.1054227500672011</v>
      </c>
      <c r="V584" s="169">
        <f t="shared" si="181"/>
        <v>10.467935548889855</v>
      </c>
      <c r="W584" s="170">
        <f t="shared" si="177"/>
        <v>413.23930595381051</v>
      </c>
      <c r="X584" s="170">
        <f t="shared" si="178"/>
        <v>423.70724150270036</v>
      </c>
    </row>
    <row r="585" spans="18:25" x14ac:dyDescent="0.15">
      <c r="R585" s="166">
        <v>12</v>
      </c>
      <c r="S585" s="1">
        <f t="shared" si="179"/>
        <v>130.84919436112318</v>
      </c>
      <c r="T585" s="167">
        <f t="shared" si="180"/>
        <v>196.27379154168477</v>
      </c>
      <c r="U585" s="168">
        <f t="shared" si="182"/>
        <v>2.1177043827759254</v>
      </c>
      <c r="V585" s="169">
        <f t="shared" si="181"/>
        <v>10.467935548889855</v>
      </c>
      <c r="W585" s="170">
        <f t="shared" si="177"/>
        <v>415.64986857187421</v>
      </c>
      <c r="X585" s="170">
        <f t="shared" si="178"/>
        <v>426.11780412076405</v>
      </c>
    </row>
    <row r="586" spans="18:25" ht="16" x14ac:dyDescent="0.3">
      <c r="R586" s="198">
        <f>SUM(S586:T586)</f>
        <v>3925.475830833695</v>
      </c>
      <c r="S586" s="118">
        <f>IF($C$17&gt;=S571,SUM(S574:S585),"")</f>
        <v>1570.1903323334782</v>
      </c>
      <c r="T586" s="119">
        <f>IF($C$17&gt;=S571,SUM(T574:T585),"")</f>
        <v>2355.2854985002168</v>
      </c>
      <c r="U586" s="184">
        <f>IF(Y587="",0,AVERAGE(U574:U585))</f>
        <v>2.0514443552577242</v>
      </c>
      <c r="V586" s="120">
        <f>IF($C$17&gt;=S571,SUM(V574:V585),"")</f>
        <v>125.61522658667826</v>
      </c>
      <c r="W586" s="121">
        <f>IF($C$17&gt;=S571,SUM(W574:W585),"")</f>
        <v>4831.7371409186453</v>
      </c>
      <c r="X586" s="121">
        <f>IF($C$17&gt;=S571,SUM(X574:X585),"")</f>
        <v>4957.3523675053229</v>
      </c>
    </row>
    <row r="587" spans="18:25" x14ac:dyDescent="0.15">
      <c r="W587" s="156" t="s">
        <v>53</v>
      </c>
      <c r="X587" s="117">
        <f>IF(AND($D$38="Yes",$D$40+1=S571,$C$17&gt;=S571),$B$40,0)</f>
        <v>0</v>
      </c>
      <c r="Y587" s="142">
        <f>IF(X586="","",IF($D$38="No",X586,IF($D$38="Yes",X586-X587,X586)))</f>
        <v>4957.3523675053229</v>
      </c>
    </row>
    <row r="588" spans="18:25" ht="14" thickBot="1" x14ac:dyDescent="0.2"/>
    <row r="589" spans="18:25" ht="17" thickBot="1" x14ac:dyDescent="0.25">
      <c r="R589" s="126" t="s">
        <v>48</v>
      </c>
      <c r="S589" s="127">
        <v>30</v>
      </c>
      <c r="T589" s="154" t="s">
        <v>66</v>
      </c>
      <c r="U589" s="143">
        <f>U571-($C$36*U571)</f>
        <v>326.14161694509954</v>
      </c>
      <c r="V589" s="155" t="s">
        <v>68</v>
      </c>
      <c r="W589" s="185">
        <f>ROUND($C$25/12,15)</f>
        <v>5.8333333333329997E-3</v>
      </c>
      <c r="X589" s="161">
        <f>IF(X604="",0,(U589*12-(U589*12)*$C$36)/POWER(1+0,S589))</f>
        <v>3901.9583051311711</v>
      </c>
    </row>
    <row r="590" spans="18:25" x14ac:dyDescent="0.15">
      <c r="U590" s="182" t="s">
        <v>76</v>
      </c>
      <c r="V590" s="166">
        <f>IF(S589&lt;=$C$31,$C$29,IF(AND(S589&gt;$C$31,$B$34="Yes"),AVERAGE(U592:U603),$D$34))</f>
        <v>0.08</v>
      </c>
    </row>
    <row r="591" spans="18:25" x14ac:dyDescent="0.15">
      <c r="R591" s="122" t="s">
        <v>70</v>
      </c>
      <c r="S591" s="124">
        <f>$C$27</f>
        <v>0.4</v>
      </c>
      <c r="T591" s="125">
        <f>100%-$S591</f>
        <v>0.6</v>
      </c>
      <c r="U591" t="s">
        <v>72</v>
      </c>
      <c r="V591" s="114" t="s">
        <v>71</v>
      </c>
      <c r="W591" s="114" t="s">
        <v>67</v>
      </c>
      <c r="X591" s="123" t="s">
        <v>69</v>
      </c>
    </row>
    <row r="592" spans="18:25" x14ac:dyDescent="0.15">
      <c r="R592" s="166">
        <v>1</v>
      </c>
      <c r="S592" s="1">
        <f>$U$589*$C$27</f>
        <v>130.45664677803981</v>
      </c>
      <c r="T592" s="167">
        <f>$U$589*(100%-$C$27)</f>
        <v>195.68497016705973</v>
      </c>
      <c r="U592" s="168">
        <f>U585*(1+$W$589)</f>
        <v>2.1300576583421176</v>
      </c>
      <c r="V592" s="169">
        <f>S592*$V$590</f>
        <v>10.436531742243185</v>
      </c>
      <c r="W592" s="170">
        <f t="shared" ref="W592:W603" si="183">T592*U592</f>
        <v>416.8202693267944</v>
      </c>
      <c r="X592" s="170">
        <f t="shared" ref="X592:X603" si="184">W592+V592</f>
        <v>427.25680106903758</v>
      </c>
    </row>
    <row r="593" spans="18:26" x14ac:dyDescent="0.15">
      <c r="R593" s="166">
        <v>2</v>
      </c>
      <c r="S593" s="1">
        <f t="shared" ref="S593:S603" si="185">$U$589*$C$27</f>
        <v>130.45664677803981</v>
      </c>
      <c r="T593" s="167">
        <f t="shared" ref="T593:T603" si="186">$U$589*(100%-$C$27)</f>
        <v>195.68497016705973</v>
      </c>
      <c r="U593" s="168">
        <f>U592*(1+$W$589)</f>
        <v>2.1424829946824455</v>
      </c>
      <c r="V593" s="169">
        <f t="shared" ref="V593:V603" si="187">S593*$V$590</f>
        <v>10.436531742243185</v>
      </c>
      <c r="W593" s="170">
        <f t="shared" si="183"/>
        <v>419.25172089786713</v>
      </c>
      <c r="X593" s="170">
        <f t="shared" si="184"/>
        <v>429.68825264011031</v>
      </c>
    </row>
    <row r="594" spans="18:26" x14ac:dyDescent="0.15">
      <c r="R594" s="166">
        <v>3</v>
      </c>
      <c r="S594" s="1">
        <f t="shared" si="185"/>
        <v>130.45664677803981</v>
      </c>
      <c r="T594" s="167">
        <f t="shared" si="186"/>
        <v>195.68497016705973</v>
      </c>
      <c r="U594" s="168">
        <f t="shared" ref="U594:U603" si="188">U593*(1+$W$589)</f>
        <v>2.1549808121514253</v>
      </c>
      <c r="V594" s="169">
        <f t="shared" si="187"/>
        <v>10.436531742243185</v>
      </c>
      <c r="W594" s="170">
        <f t="shared" si="183"/>
        <v>421.69735593643782</v>
      </c>
      <c r="X594" s="170">
        <f t="shared" si="184"/>
        <v>432.13388767868099</v>
      </c>
    </row>
    <row r="595" spans="18:26" x14ac:dyDescent="0.15">
      <c r="R595" s="166">
        <v>4</v>
      </c>
      <c r="S595" s="1">
        <f t="shared" si="185"/>
        <v>130.45664677803981</v>
      </c>
      <c r="T595" s="167">
        <f t="shared" si="186"/>
        <v>195.68497016705973</v>
      </c>
      <c r="U595" s="168">
        <f t="shared" si="188"/>
        <v>2.167551533555641</v>
      </c>
      <c r="V595" s="169">
        <f t="shared" si="187"/>
        <v>10.436531742243185</v>
      </c>
      <c r="W595" s="170">
        <f t="shared" si="183"/>
        <v>424.15725717940018</v>
      </c>
      <c r="X595" s="170">
        <f t="shared" si="184"/>
        <v>434.59378892164335</v>
      </c>
    </row>
    <row r="596" spans="18:26" x14ac:dyDescent="0.15">
      <c r="R596" s="166">
        <v>5</v>
      </c>
      <c r="S596" s="1">
        <f t="shared" si="185"/>
        <v>130.45664677803981</v>
      </c>
      <c r="T596" s="167">
        <f t="shared" si="186"/>
        <v>195.68497016705973</v>
      </c>
      <c r="U596" s="168">
        <f t="shared" si="188"/>
        <v>2.180195584168048</v>
      </c>
      <c r="V596" s="169">
        <f t="shared" si="187"/>
        <v>10.436531742243185</v>
      </c>
      <c r="W596" s="170">
        <f t="shared" si="183"/>
        <v>426.63150784627982</v>
      </c>
      <c r="X596" s="170">
        <f t="shared" si="184"/>
        <v>437.06803958852299</v>
      </c>
    </row>
    <row r="597" spans="18:26" x14ac:dyDescent="0.15">
      <c r="R597" s="166">
        <v>6</v>
      </c>
      <c r="S597" s="1">
        <f t="shared" si="185"/>
        <v>130.45664677803981</v>
      </c>
      <c r="T597" s="167">
        <f t="shared" si="186"/>
        <v>195.68497016705973</v>
      </c>
      <c r="U597" s="168">
        <f t="shared" si="188"/>
        <v>2.1929133917423607</v>
      </c>
      <c r="V597" s="169">
        <f t="shared" si="187"/>
        <v>10.436531742243185</v>
      </c>
      <c r="W597" s="170">
        <f t="shared" si="183"/>
        <v>429.12019164204963</v>
      </c>
      <c r="X597" s="170">
        <f t="shared" si="184"/>
        <v>439.55672338429281</v>
      </c>
    </row>
    <row r="598" spans="18:26" x14ac:dyDescent="0.15">
      <c r="R598" s="166">
        <v>7</v>
      </c>
      <c r="S598" s="1">
        <f t="shared" si="185"/>
        <v>130.45664677803981</v>
      </c>
      <c r="T598" s="167">
        <f t="shared" si="186"/>
        <v>195.68497016705973</v>
      </c>
      <c r="U598" s="168">
        <f t="shared" si="188"/>
        <v>2.2057053865275233</v>
      </c>
      <c r="V598" s="169">
        <f t="shared" si="187"/>
        <v>10.436531742243185</v>
      </c>
      <c r="W598" s="170">
        <f t="shared" si="183"/>
        <v>431.62339275996135</v>
      </c>
      <c r="X598" s="170">
        <f t="shared" si="184"/>
        <v>442.05992450220452</v>
      </c>
    </row>
    <row r="599" spans="18:26" x14ac:dyDescent="0.15">
      <c r="R599" s="166">
        <v>8</v>
      </c>
      <c r="S599" s="1">
        <f t="shared" si="185"/>
        <v>130.45664677803981</v>
      </c>
      <c r="T599" s="167">
        <f t="shared" si="186"/>
        <v>195.68497016705973</v>
      </c>
      <c r="U599" s="168">
        <f t="shared" si="188"/>
        <v>2.2185720012822663</v>
      </c>
      <c r="V599" s="169">
        <f t="shared" si="187"/>
        <v>10.436531742243185</v>
      </c>
      <c r="W599" s="170">
        <f t="shared" si="183"/>
        <v>434.14119588439428</v>
      </c>
      <c r="X599" s="170">
        <f t="shared" si="184"/>
        <v>444.57772762663745</v>
      </c>
    </row>
    <row r="600" spans="18:26" x14ac:dyDescent="0.15">
      <c r="R600" s="166">
        <v>9</v>
      </c>
      <c r="S600" s="1">
        <f t="shared" si="185"/>
        <v>130.45664677803981</v>
      </c>
      <c r="T600" s="167">
        <f t="shared" si="186"/>
        <v>195.68497016705973</v>
      </c>
      <c r="U600" s="168">
        <f t="shared" si="188"/>
        <v>2.2315136712897452</v>
      </c>
      <c r="V600" s="169">
        <f t="shared" si="187"/>
        <v>10.436531742243185</v>
      </c>
      <c r="W600" s="170">
        <f t="shared" si="183"/>
        <v>436.67368619371973</v>
      </c>
      <c r="X600" s="170">
        <f t="shared" si="184"/>
        <v>447.11021793596291</v>
      </c>
    </row>
    <row r="601" spans="18:26" x14ac:dyDescent="0.15">
      <c r="R601" s="166">
        <v>10</v>
      </c>
      <c r="S601" s="1">
        <f t="shared" si="185"/>
        <v>130.45664677803981</v>
      </c>
      <c r="T601" s="167">
        <f t="shared" si="186"/>
        <v>195.68497016705973</v>
      </c>
      <c r="U601" s="168">
        <f t="shared" si="188"/>
        <v>2.2445308343722679</v>
      </c>
      <c r="V601" s="169">
        <f t="shared" si="187"/>
        <v>10.436531742243185</v>
      </c>
      <c r="W601" s="170">
        <f t="shared" si="183"/>
        <v>439.22094936318291</v>
      </c>
      <c r="X601" s="170">
        <f t="shared" si="184"/>
        <v>449.65748110542609</v>
      </c>
    </row>
    <row r="602" spans="18:26" x14ac:dyDescent="0.15">
      <c r="R602" s="166">
        <v>11</v>
      </c>
      <c r="S602" s="1">
        <f t="shared" si="185"/>
        <v>130.45664677803981</v>
      </c>
      <c r="T602" s="167">
        <f t="shared" si="186"/>
        <v>195.68497016705973</v>
      </c>
      <c r="U602" s="168">
        <f t="shared" si="188"/>
        <v>2.2576239309061052</v>
      </c>
      <c r="V602" s="169">
        <f t="shared" si="187"/>
        <v>10.436531742243185</v>
      </c>
      <c r="W602" s="170">
        <f t="shared" si="183"/>
        <v>441.7830715678013</v>
      </c>
      <c r="X602" s="170">
        <f t="shared" si="184"/>
        <v>452.21960331004448</v>
      </c>
    </row>
    <row r="603" spans="18:26" x14ac:dyDescent="0.15">
      <c r="R603" s="166">
        <v>12</v>
      </c>
      <c r="S603" s="1">
        <f t="shared" si="185"/>
        <v>130.45664677803981</v>
      </c>
      <c r="T603" s="167">
        <f t="shared" si="186"/>
        <v>195.68497016705973</v>
      </c>
      <c r="U603" s="168">
        <f t="shared" si="188"/>
        <v>2.2707934038363899</v>
      </c>
      <c r="V603" s="169">
        <f t="shared" si="187"/>
        <v>10.436531742243185</v>
      </c>
      <c r="W603" s="170">
        <f t="shared" si="183"/>
        <v>444.36013948528</v>
      </c>
      <c r="X603" s="170">
        <f t="shared" si="184"/>
        <v>454.79667122752318</v>
      </c>
    </row>
    <row r="604" spans="18:26" ht="16" x14ac:dyDescent="0.3">
      <c r="R604" s="198">
        <f>SUM(S604:T604)</f>
        <v>3913.6994033411947</v>
      </c>
      <c r="S604" s="118">
        <f>IF($C$17&gt;=S589,SUM(S592:S603),"")</f>
        <v>1565.4797613364778</v>
      </c>
      <c r="T604" s="119">
        <f>IF($C$17&gt;=S589,SUM(T592:T603),"")</f>
        <v>2348.2196420047167</v>
      </c>
      <c r="U604" s="184">
        <f>IF(Y605="",0,AVERAGE(U592:U603))</f>
        <v>2.1997434335713613</v>
      </c>
      <c r="V604" s="120">
        <f>IF($C$17&gt;=S589,SUM(V592:V603),"")</f>
        <v>125.23838090691824</v>
      </c>
      <c r="W604" s="121">
        <f>IF($C$17&gt;=S589,SUM(W592:W603),"")</f>
        <v>5165.480738083168</v>
      </c>
      <c r="X604" s="121">
        <f>IF($C$17&gt;=S589,SUM(X592:X603),"")</f>
        <v>5290.7191189900859</v>
      </c>
    </row>
    <row r="605" spans="18:26" x14ac:dyDescent="0.15">
      <c r="W605" s="156" t="s">
        <v>53</v>
      </c>
      <c r="X605" s="117">
        <f>IF(AND($D$38="Yes",$D$40+1=S589,$C$17&gt;=S589),$B$40,0)</f>
        <v>0</v>
      </c>
      <c r="Y605" s="142">
        <f>IF(X604="","",IF($D$38="No",X604,IF($D$38="Yes",X604-X605,X604)))</f>
        <v>5290.7191189900859</v>
      </c>
    </row>
    <row r="608" spans="18:26" ht="14" thickBot="1" x14ac:dyDescent="0.2"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5:47" ht="14" thickBot="1" x14ac:dyDescent="0.2">
      <c r="R609" s="148">
        <v>1</v>
      </c>
      <c r="S609" s="144">
        <v>2</v>
      </c>
      <c r="T609" s="144">
        <v>3</v>
      </c>
      <c r="U609" s="144">
        <v>4</v>
      </c>
      <c r="V609" s="144">
        <v>5</v>
      </c>
      <c r="W609" s="144">
        <v>6</v>
      </c>
      <c r="X609" s="144">
        <v>7</v>
      </c>
      <c r="Y609" s="144">
        <v>8</v>
      </c>
      <c r="Z609" s="144">
        <v>9</v>
      </c>
      <c r="AA609" s="144">
        <v>10</v>
      </c>
      <c r="AB609" s="144">
        <v>11</v>
      </c>
      <c r="AC609" s="144">
        <v>12</v>
      </c>
      <c r="AD609" s="144">
        <v>13</v>
      </c>
      <c r="AE609" s="144">
        <v>14</v>
      </c>
      <c r="AF609" s="144">
        <v>15</v>
      </c>
      <c r="AG609" s="144">
        <v>16</v>
      </c>
      <c r="AH609" s="144">
        <v>17</v>
      </c>
      <c r="AI609" s="144">
        <v>18</v>
      </c>
      <c r="AJ609" s="144">
        <v>19</v>
      </c>
      <c r="AK609" s="144">
        <v>20</v>
      </c>
      <c r="AL609" s="144">
        <v>21</v>
      </c>
      <c r="AM609" s="144">
        <v>22</v>
      </c>
      <c r="AN609" s="144">
        <v>23</v>
      </c>
      <c r="AO609" s="144">
        <v>24</v>
      </c>
      <c r="AP609" s="144">
        <v>25</v>
      </c>
      <c r="AQ609" s="144">
        <v>26</v>
      </c>
      <c r="AR609" s="144">
        <v>27</v>
      </c>
      <c r="AS609" s="144">
        <v>28</v>
      </c>
      <c r="AT609" s="144">
        <v>29</v>
      </c>
      <c r="AU609" s="144">
        <v>30</v>
      </c>
    </row>
    <row r="610" spans="15:47" x14ac:dyDescent="0.15">
      <c r="O610" s="288" t="s">
        <v>73</v>
      </c>
      <c r="P610" s="288"/>
      <c r="Q610" s="288"/>
      <c r="R610" s="178">
        <f>Y83</f>
        <v>905.23999999999967</v>
      </c>
      <c r="S610" s="145">
        <f>Y101</f>
        <v>932.21022167786623</v>
      </c>
      <c r="T610" s="145">
        <f>Y119</f>
        <v>986.78243540827327</v>
      </c>
      <c r="U610" s="145">
        <f>Y137</f>
        <v>1045.1535827690784</v>
      </c>
      <c r="V610" s="145">
        <f>Y155</f>
        <v>1107.5859799361872</v>
      </c>
      <c r="W610" s="145">
        <f>Y173</f>
        <v>1174.3600623710731</v>
      </c>
      <c r="X610" s="145">
        <f>Y191</f>
        <v>1245.775636377208</v>
      </c>
      <c r="Y610" s="145">
        <f>Y209</f>
        <v>1322.1532171055187</v>
      </c>
      <c r="Z610" s="145">
        <f>Y227</f>
        <v>1403.8354589801797</v>
      </c>
      <c r="AA610" s="145">
        <f>Y245</f>
        <v>1491.1886849285074</v>
      </c>
      <c r="AB610" s="145">
        <f>Y263</f>
        <v>1584.6045212396764</v>
      </c>
      <c r="AC610" s="145">
        <f>Y281</f>
        <v>1684.501645348382</v>
      </c>
      <c r="AD610" s="145">
        <f>Y299</f>
        <v>1791.3276543435252</v>
      </c>
      <c r="AE610" s="145">
        <f>Y317</f>
        <v>1905.5610625408056</v>
      </c>
      <c r="AF610" s="145">
        <f>Y335</f>
        <v>2027.7134370340618</v>
      </c>
      <c r="AG610" s="145">
        <f>Y353</f>
        <v>1358.3316807559995</v>
      </c>
      <c r="AH610" s="145">
        <f>Y371</f>
        <v>2298.0004732372636</v>
      </c>
      <c r="AI610" s="145">
        <f>Y389</f>
        <v>2447.3448799565767</v>
      </c>
      <c r="AJ610" s="145">
        <f>Y407</f>
        <v>2607.0331419270615</v>
      </c>
      <c r="AK610" s="145">
        <f>Y425</f>
        <v>2777.7796579682636</v>
      </c>
      <c r="AL610" s="145">
        <f>Y443</f>
        <v>2960.348172973273</v>
      </c>
      <c r="AM610" s="145">
        <f>Y461</f>
        <v>3155.5551863996911</v>
      </c>
      <c r="AN610" s="145">
        <f>Y479</f>
        <v>3364.2735961960225</v>
      </c>
      <c r="AO610" s="145">
        <f>Y497</f>
        <v>3587.4365944257547</v>
      </c>
      <c r="AP610" s="145">
        <f>Y515</f>
        <v>3826.0418319747114</v>
      </c>
      <c r="AQ610" s="145">
        <f>Y533</f>
        <v>4081.1558709281117</v>
      </c>
      <c r="AR610" s="145">
        <f>Y551</f>
        <v>4353.9189444876138</v>
      </c>
      <c r="AS610" s="145">
        <f>Y569</f>
        <v>4645.5500456711025</v>
      </c>
      <c r="AT610" s="145">
        <f>Y587</f>
        <v>4957.3523675053229</v>
      </c>
      <c r="AU610" s="145">
        <f>Y605</f>
        <v>5290.7191189900859</v>
      </c>
    </row>
    <row r="611" spans="15:47" x14ac:dyDescent="0.15">
      <c r="O611" s="288" t="s">
        <v>75</v>
      </c>
      <c r="P611" s="288"/>
      <c r="Q611" s="288"/>
      <c r="R611" s="179">
        <f t="shared" ref="R611:AU611" si="189">IF(AND($F$21&gt;=R609,R610&gt;0),R610-$X$64*12,R610)</f>
        <v>375.82350600039706</v>
      </c>
      <c r="S611" s="176">
        <f t="shared" si="189"/>
        <v>402.79372767826362</v>
      </c>
      <c r="T611" s="176">
        <f t="shared" si="189"/>
        <v>457.36594140867066</v>
      </c>
      <c r="U611" s="176">
        <f t="shared" si="189"/>
        <v>515.7370887694758</v>
      </c>
      <c r="V611" s="176">
        <f t="shared" si="189"/>
        <v>578.16948593658458</v>
      </c>
      <c r="W611" s="176">
        <f t="shared" si="189"/>
        <v>644.94356837147052</v>
      </c>
      <c r="X611" s="176">
        <f t="shared" si="189"/>
        <v>716.35914237760539</v>
      </c>
      <c r="Y611" s="176">
        <f t="shared" si="189"/>
        <v>792.7367231059161</v>
      </c>
      <c r="Z611" s="176">
        <f t="shared" si="189"/>
        <v>874.41896498057713</v>
      </c>
      <c r="AA611" s="176">
        <f t="shared" si="189"/>
        <v>961.77219092890482</v>
      </c>
      <c r="AB611" s="176">
        <f t="shared" si="189"/>
        <v>1055.1880272400738</v>
      </c>
      <c r="AC611" s="176">
        <f t="shared" si="189"/>
        <v>1155.0851513487794</v>
      </c>
      <c r="AD611" s="176">
        <f t="shared" si="189"/>
        <v>1261.9111603439226</v>
      </c>
      <c r="AE611" s="176">
        <f t="shared" si="189"/>
        <v>1376.1445685412029</v>
      </c>
      <c r="AF611" s="176">
        <f t="shared" si="189"/>
        <v>1498.2969430344592</v>
      </c>
      <c r="AG611" s="176">
        <f t="shared" si="189"/>
        <v>828.91518675639691</v>
      </c>
      <c r="AH611" s="176">
        <f t="shared" si="189"/>
        <v>1768.583979237661</v>
      </c>
      <c r="AI611" s="176">
        <f t="shared" si="189"/>
        <v>1917.9283859569741</v>
      </c>
      <c r="AJ611" s="176">
        <f t="shared" si="189"/>
        <v>2077.6166479274589</v>
      </c>
      <c r="AK611" s="176">
        <f t="shared" si="189"/>
        <v>2248.363163968661</v>
      </c>
      <c r="AL611" s="176">
        <f t="shared" si="189"/>
        <v>2960.348172973273</v>
      </c>
      <c r="AM611" s="176">
        <f t="shared" si="189"/>
        <v>3155.5551863996911</v>
      </c>
      <c r="AN611" s="176">
        <f t="shared" si="189"/>
        <v>3364.2735961960225</v>
      </c>
      <c r="AO611" s="176">
        <f t="shared" si="189"/>
        <v>3587.4365944257547</v>
      </c>
      <c r="AP611" s="176">
        <f t="shared" si="189"/>
        <v>3826.0418319747114</v>
      </c>
      <c r="AQ611" s="176">
        <f t="shared" si="189"/>
        <v>4081.1558709281117</v>
      </c>
      <c r="AR611" s="176">
        <f t="shared" si="189"/>
        <v>4353.9189444876138</v>
      </c>
      <c r="AS611" s="176">
        <f t="shared" si="189"/>
        <v>4645.5500456711025</v>
      </c>
      <c r="AT611" s="176">
        <f t="shared" si="189"/>
        <v>4957.3523675053229</v>
      </c>
      <c r="AU611" s="176">
        <f t="shared" si="189"/>
        <v>5290.7191189900859</v>
      </c>
    </row>
    <row r="612" spans="15:47" x14ac:dyDescent="0.15">
      <c r="O612" s="289" t="s">
        <v>74</v>
      </c>
      <c r="P612" s="289"/>
      <c r="Q612" s="289"/>
      <c r="R612" s="177">
        <f>SUM(R610:AU610)</f>
        <v>72318.835163457203</v>
      </c>
      <c r="X612" s="117"/>
    </row>
    <row r="613" spans="15:47" x14ac:dyDescent="0.15">
      <c r="O613" s="288" t="s">
        <v>54</v>
      </c>
      <c r="P613" s="288"/>
      <c r="Q613" s="150">
        <f>-D9</f>
        <v>-6685</v>
      </c>
      <c r="R613" s="150">
        <f>R610</f>
        <v>905.23999999999967</v>
      </c>
      <c r="S613" s="150">
        <f t="shared" ref="S613:AU613" si="190">S610</f>
        <v>932.21022167786623</v>
      </c>
      <c r="T613" s="150">
        <f t="shared" si="190"/>
        <v>986.78243540827327</v>
      </c>
      <c r="U613" s="150">
        <f t="shared" si="190"/>
        <v>1045.1535827690784</v>
      </c>
      <c r="V613" s="150">
        <f t="shared" si="190"/>
        <v>1107.5859799361872</v>
      </c>
      <c r="W613" s="150">
        <f t="shared" si="190"/>
        <v>1174.3600623710731</v>
      </c>
      <c r="X613" s="150">
        <f t="shared" si="190"/>
        <v>1245.775636377208</v>
      </c>
      <c r="Y613" s="150">
        <f t="shared" si="190"/>
        <v>1322.1532171055187</v>
      </c>
      <c r="Z613" s="150">
        <f t="shared" si="190"/>
        <v>1403.8354589801797</v>
      </c>
      <c r="AA613" s="150">
        <f t="shared" si="190"/>
        <v>1491.1886849285074</v>
      </c>
      <c r="AB613" s="150">
        <f t="shared" si="190"/>
        <v>1584.6045212396764</v>
      </c>
      <c r="AC613" s="150">
        <f t="shared" si="190"/>
        <v>1684.501645348382</v>
      </c>
      <c r="AD613" s="150">
        <f t="shared" si="190"/>
        <v>1791.3276543435252</v>
      </c>
      <c r="AE613" s="150">
        <f t="shared" si="190"/>
        <v>1905.5610625408056</v>
      </c>
      <c r="AF613" s="150">
        <f t="shared" si="190"/>
        <v>2027.7134370340618</v>
      </c>
      <c r="AG613" s="150">
        <f t="shared" si="190"/>
        <v>1358.3316807559995</v>
      </c>
      <c r="AH613" s="150">
        <f t="shared" si="190"/>
        <v>2298.0004732372636</v>
      </c>
      <c r="AI613" s="150">
        <f t="shared" si="190"/>
        <v>2447.3448799565767</v>
      </c>
      <c r="AJ613" s="150">
        <f t="shared" si="190"/>
        <v>2607.0331419270615</v>
      </c>
      <c r="AK613" s="150">
        <f t="shared" si="190"/>
        <v>2777.7796579682636</v>
      </c>
      <c r="AL613" s="150">
        <f t="shared" si="190"/>
        <v>2960.348172973273</v>
      </c>
      <c r="AM613" s="150">
        <f t="shared" si="190"/>
        <v>3155.5551863996911</v>
      </c>
      <c r="AN613" s="150">
        <f t="shared" si="190"/>
        <v>3364.2735961960225</v>
      </c>
      <c r="AO613" s="150">
        <f t="shared" si="190"/>
        <v>3587.4365944257547</v>
      </c>
      <c r="AP613" s="150">
        <f t="shared" si="190"/>
        <v>3826.0418319747114</v>
      </c>
      <c r="AQ613" s="150">
        <f t="shared" si="190"/>
        <v>4081.1558709281117</v>
      </c>
      <c r="AR613" s="150">
        <f t="shared" si="190"/>
        <v>4353.9189444876138</v>
      </c>
      <c r="AS613" s="150">
        <f t="shared" si="190"/>
        <v>4645.5500456711025</v>
      </c>
      <c r="AT613" s="150">
        <f t="shared" si="190"/>
        <v>4957.3523675053229</v>
      </c>
      <c r="AU613" s="150">
        <f t="shared" si="190"/>
        <v>5290.7191189900859</v>
      </c>
    </row>
    <row r="614" spans="15:47" x14ac:dyDescent="0.15">
      <c r="O614" s="288" t="s">
        <v>55</v>
      </c>
      <c r="P614" s="288"/>
      <c r="Q614" s="288"/>
      <c r="R614" s="151">
        <f>IF(AND($D$38="No",$F$45&gt;R615),1,IF(AND($D$38="Yes",$F$45&gt;O615),1,0))</f>
        <v>0</v>
      </c>
      <c r="S614" s="151">
        <f t="shared" ref="S614:AD614" si="191">IF(AND($D$38="No",$F$45&gt;S615),1,IF(AND($D$38="Yes",$F$45&gt;R615),1,0))</f>
        <v>1</v>
      </c>
      <c r="T614" s="151">
        <f t="shared" si="191"/>
        <v>1</v>
      </c>
      <c r="U614" s="151">
        <f t="shared" si="191"/>
        <v>1</v>
      </c>
      <c r="V614" s="151">
        <f t="shared" si="191"/>
        <v>1</v>
      </c>
      <c r="W614" s="151">
        <f t="shared" si="191"/>
        <v>1</v>
      </c>
      <c r="X614" s="151">
        <f t="shared" si="191"/>
        <v>1</v>
      </c>
      <c r="Y614" s="151">
        <f t="shared" si="191"/>
        <v>1</v>
      </c>
      <c r="Z614" s="151">
        <f t="shared" si="191"/>
        <v>1</v>
      </c>
      <c r="AA614" s="151">
        <f t="shared" si="191"/>
        <v>1</v>
      </c>
      <c r="AB614" s="151">
        <f t="shared" si="191"/>
        <v>0</v>
      </c>
      <c r="AC614" s="151">
        <f t="shared" si="191"/>
        <v>0</v>
      </c>
      <c r="AD614" s="151">
        <f t="shared" si="191"/>
        <v>0</v>
      </c>
      <c r="AE614" s="151">
        <f t="shared" ref="AE614" si="192">IF(AND($D$38="No",$F$45&gt;AE615),1,IF(AND($D$38="Yes",$F$45&gt;AD615),1,0))</f>
        <v>0</v>
      </c>
      <c r="AF614" s="151">
        <f t="shared" ref="AF614" si="193">IF(AND($D$38="No",$F$45&gt;AF615),1,IF(AND($D$38="Yes",$F$45&gt;AE615),1,0))</f>
        <v>0</v>
      </c>
      <c r="AG614" s="151">
        <f t="shared" ref="AG614" si="194">IF(AND($D$38="No",$F$45&gt;AG615),1,IF(AND($D$38="Yes",$F$45&gt;AF615),1,0))</f>
        <v>0</v>
      </c>
      <c r="AH614" s="151">
        <f t="shared" ref="AH614" si="195">IF(AND($D$38="No",$F$45&gt;AH615),1,IF(AND($D$38="Yes",$F$45&gt;AG615),1,0))</f>
        <v>0</v>
      </c>
      <c r="AI614" s="151">
        <f t="shared" ref="AI614" si="196">IF(AND($D$38="No",$F$45&gt;AI615),1,IF(AND($D$38="Yes",$F$45&gt;AH615),1,0))</f>
        <v>0</v>
      </c>
      <c r="AJ614" s="151">
        <f t="shared" ref="AJ614" si="197">IF(AND($D$38="No",$F$45&gt;AJ615),1,IF(AND($D$38="Yes",$F$45&gt;AI615),1,0))</f>
        <v>0</v>
      </c>
      <c r="AK614" s="151">
        <f t="shared" ref="AK614" si="198">IF(AND($D$38="No",$F$45&gt;AK615),1,IF(AND($D$38="Yes",$F$45&gt;AJ615),1,0))</f>
        <v>0</v>
      </c>
      <c r="AL614" s="151">
        <f t="shared" ref="AL614" si="199">IF(AND($D$38="No",$F$45&gt;AL615),1,IF(AND($D$38="Yes",$F$45&gt;AK615),1,0))</f>
        <v>0</v>
      </c>
      <c r="AM614" s="151">
        <f t="shared" ref="AM614" si="200">IF(AND($D$38="No",$F$45&gt;AM615),1,IF(AND($D$38="Yes",$F$45&gt;AL615),1,0))</f>
        <v>0</v>
      </c>
      <c r="AN614" s="151">
        <f t="shared" ref="AN614" si="201">IF(AND($D$38="No",$F$45&gt;AN615),1,IF(AND($D$38="Yes",$F$45&gt;AM615),1,0))</f>
        <v>0</v>
      </c>
      <c r="AO614" s="151">
        <f t="shared" ref="AO614:AP614" si="202">IF(AND($D$38="No",$F$45&gt;AO615),1,IF(AND($D$38="Yes",$F$45&gt;AN615),1,0))</f>
        <v>0</v>
      </c>
      <c r="AP614" s="151">
        <f t="shared" si="202"/>
        <v>0</v>
      </c>
      <c r="AQ614" s="151">
        <f t="shared" ref="AQ614" si="203">IF(AND($D$38="No",$F$45&gt;AQ615),1,IF(AND($D$38="Yes",$F$45&gt;AP615),1,0))</f>
        <v>0</v>
      </c>
      <c r="AR614" s="151">
        <f t="shared" ref="AR614" si="204">IF(AND($D$38="No",$F$45&gt;AR615),1,IF(AND($D$38="Yes",$F$45&gt;AQ615),1,0))</f>
        <v>0</v>
      </c>
      <c r="AS614" s="151">
        <f t="shared" ref="AS614" si="205">IF(AND($D$38="No",$F$45&gt;AS615),1,IF(AND($D$38="Yes",$F$45&gt;AR615),1,0))</f>
        <v>0</v>
      </c>
      <c r="AT614" s="151">
        <f t="shared" ref="AT614" si="206">IF(AND($D$38="No",$F$45&gt;AT615),1,IF(AND($D$38="Yes",$F$45&gt;AS615),1,0))</f>
        <v>0</v>
      </c>
      <c r="AU614" s="151">
        <f t="shared" ref="AU614" si="207">IF(AND($D$38="No",$F$45&gt;AU615),1,IF(AND($D$38="Yes",$F$45&gt;AT615),1,0))</f>
        <v>0</v>
      </c>
    </row>
    <row r="615" spans="15:47" x14ac:dyDescent="0.15">
      <c r="O615" s="288" t="s">
        <v>87</v>
      </c>
      <c r="P615" s="288"/>
      <c r="Q615" s="288"/>
      <c r="R615" s="176">
        <f>R610</f>
        <v>905.23999999999967</v>
      </c>
      <c r="S615" s="176">
        <f>SUM($R$610:S610)</f>
        <v>1837.450221677866</v>
      </c>
      <c r="T615" s="176">
        <f>SUM($R$610:T610)</f>
        <v>2824.2326570861392</v>
      </c>
      <c r="U615" s="176">
        <f>SUM($R$610:U610)</f>
        <v>3869.3862398552174</v>
      </c>
      <c r="V615" s="176">
        <f>SUM($R$610:V610)</f>
        <v>4976.9722197914043</v>
      </c>
      <c r="W615" s="176">
        <f>SUM($R$610:W610)</f>
        <v>6151.332282162477</v>
      </c>
      <c r="X615" s="176">
        <f>SUM($R$610:X610)</f>
        <v>7397.1079185396848</v>
      </c>
      <c r="Y615" s="176">
        <f>SUM($R$610:Y610)</f>
        <v>8719.2611356452035</v>
      </c>
      <c r="Z615" s="176">
        <f>SUM($R$610:Z610)</f>
        <v>10123.096594625384</v>
      </c>
      <c r="AA615" s="176">
        <f>SUM($R$610:AA610)</f>
        <v>11614.285279553891</v>
      </c>
      <c r="AB615" s="176">
        <f>SUM($R$610:AB610)</f>
        <v>13198.889800793568</v>
      </c>
      <c r="AC615" s="176">
        <f>SUM($R$610:AC610)</f>
        <v>14883.39144614195</v>
      </c>
      <c r="AD615" s="176">
        <f>SUM($R$610:AD610)</f>
        <v>16674.719100485476</v>
      </c>
      <c r="AE615" s="176">
        <f>SUM($R$610:AE610)</f>
        <v>18580.28016302628</v>
      </c>
      <c r="AF615" s="176">
        <f>SUM($R$610:AF610)</f>
        <v>20607.993600060341</v>
      </c>
      <c r="AG615" s="176">
        <f>SUM($R$610:AG610)</f>
        <v>21966.325280816342</v>
      </c>
      <c r="AH615" s="176">
        <f>SUM($R$610:AH610)</f>
        <v>24264.325754053607</v>
      </c>
      <c r="AI615" s="176">
        <f>SUM($R$610:AI610)</f>
        <v>26711.670634010185</v>
      </c>
      <c r="AJ615" s="176">
        <f>SUM($R$610:AJ610)</f>
        <v>29318.703775937247</v>
      </c>
      <c r="AK615" s="176">
        <f>SUM($R$610:AK610)</f>
        <v>32096.483433905509</v>
      </c>
      <c r="AL615" s="176">
        <f>SUM($R$610:AL610)</f>
        <v>35056.831606878783</v>
      </c>
      <c r="AM615" s="176">
        <f>SUM($R$610:AM610)</f>
        <v>38212.386793278471</v>
      </c>
      <c r="AN615" s="176">
        <f>SUM($R$610:AN610)</f>
        <v>41576.660389474491</v>
      </c>
      <c r="AO615" s="176">
        <f>SUM($R$610:AO610)</f>
        <v>45164.096983900243</v>
      </c>
      <c r="AP615" s="176">
        <f>SUM($R$610:AP610)</f>
        <v>48990.138815874954</v>
      </c>
      <c r="AQ615" s="176">
        <f>SUM($R$610:AQ610)</f>
        <v>53071.294686803063</v>
      </c>
      <c r="AR615" s="176">
        <f>SUM($R$610:AR610)</f>
        <v>57425.21363129068</v>
      </c>
      <c r="AS615" s="176">
        <f>SUM($R$610:AS610)</f>
        <v>62070.763676961782</v>
      </c>
      <c r="AT615" s="176">
        <f>SUM($R$610:AT610)</f>
        <v>67028.116044467111</v>
      </c>
      <c r="AU615" s="176">
        <f>SUM($R$610:AU610)</f>
        <v>72318.835163457203</v>
      </c>
    </row>
    <row r="616" spans="15:47" x14ac:dyDescent="0.15"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</row>
  </sheetData>
  <mergeCells count="33">
    <mergeCell ref="O615:Q615"/>
    <mergeCell ref="O610:Q610"/>
    <mergeCell ref="O612:Q612"/>
    <mergeCell ref="O613:P613"/>
    <mergeCell ref="O614:Q614"/>
    <mergeCell ref="O611:Q611"/>
    <mergeCell ref="A9:C10"/>
    <mergeCell ref="D9:D10"/>
    <mergeCell ref="A12:C12"/>
    <mergeCell ref="A14:B15"/>
    <mergeCell ref="A55:E55"/>
    <mergeCell ref="A19:B19"/>
    <mergeCell ref="A21:B21"/>
    <mergeCell ref="A36:B36"/>
    <mergeCell ref="A29:B29"/>
    <mergeCell ref="A49:E49"/>
    <mergeCell ref="A51:E51"/>
    <mergeCell ref="A53:E53"/>
    <mergeCell ref="A47:E47"/>
    <mergeCell ref="A45:E45"/>
    <mergeCell ref="A38:C38"/>
    <mergeCell ref="E34:F34"/>
    <mergeCell ref="C14:C15"/>
    <mergeCell ref="A31:B31"/>
    <mergeCell ref="A17:B17"/>
    <mergeCell ref="A23:G23"/>
    <mergeCell ref="A25:B25"/>
    <mergeCell ref="A27:B27"/>
    <mergeCell ref="A1:G2"/>
    <mergeCell ref="N5:AI5"/>
    <mergeCell ref="Q6:AF6"/>
    <mergeCell ref="AG6:AI6"/>
    <mergeCell ref="A3:G3"/>
  </mergeCells>
  <phoneticPr fontId="3" type="noConversion"/>
  <dataValidations count="4">
    <dataValidation type="list" allowBlank="1" showInputMessage="1" showErrorMessage="1" sqref="D38" xr:uid="{00000000-0002-0000-0100-000000000000}">
      <formula1>$N$8:$N$9</formula1>
    </dataValidation>
    <dataValidation type="list" allowBlank="1" showInputMessage="1" showErrorMessage="1" sqref="B7" xr:uid="{00000000-0002-0000-0100-000001000000}">
      <formula1>$P$7:$P$17</formula1>
    </dataValidation>
    <dataValidation type="list" allowBlank="1" showInputMessage="1" showErrorMessage="1" sqref="B5" xr:uid="{00000000-0002-0000-0100-000002000000}">
      <formula1>$O$7:$O$15</formula1>
    </dataValidation>
    <dataValidation type="list" allowBlank="1" showInputMessage="1" showErrorMessage="1" sqref="B34" xr:uid="{00000000-0002-0000-0100-000003000000}">
      <formula1>$N$7:$N$9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615"/>
  <sheetViews>
    <sheetView zoomScale="125" zoomScaleNormal="125" zoomScalePageLayoutView="125" workbookViewId="0">
      <selection activeCell="F53" sqref="F53"/>
    </sheetView>
  </sheetViews>
  <sheetFormatPr baseColWidth="10" defaultColWidth="8.83203125" defaultRowHeight="13" x14ac:dyDescent="0.15"/>
  <cols>
    <col min="1" max="1" width="12.83203125" customWidth="1"/>
    <col min="2" max="2" width="10.33203125" customWidth="1"/>
    <col min="3" max="3" width="15.33203125" bestFit="1" customWidth="1"/>
    <col min="4" max="4" width="11.5" bestFit="1" customWidth="1"/>
    <col min="6" max="6" width="12.5" bestFit="1" customWidth="1"/>
    <col min="10" max="10" width="15.33203125" bestFit="1" customWidth="1"/>
    <col min="11" max="13" width="11.5" bestFit="1" customWidth="1"/>
    <col min="14" max="14" width="11.1640625" customWidth="1"/>
    <col min="15" max="15" width="15.33203125" customWidth="1"/>
    <col min="16" max="16" width="15.5" customWidth="1"/>
    <col min="17" max="17" width="11.6640625" customWidth="1"/>
    <col min="18" max="18" width="14.1640625" customWidth="1"/>
    <col min="19" max="19" width="14" bestFit="1" customWidth="1"/>
    <col min="20" max="20" width="13.83203125" customWidth="1"/>
    <col min="21" max="21" width="16.6640625" bestFit="1" customWidth="1"/>
    <col min="22" max="22" width="13.83203125" customWidth="1"/>
    <col min="23" max="23" width="22.1640625" bestFit="1" customWidth="1"/>
    <col min="24" max="24" width="13.83203125" customWidth="1"/>
    <col min="25" max="25" width="12" customWidth="1"/>
    <col min="26" max="26" width="13.83203125" customWidth="1"/>
    <col min="27" max="27" width="12" customWidth="1"/>
    <col min="28" max="28" width="13.83203125" customWidth="1"/>
    <col min="29" max="29" width="12" customWidth="1"/>
    <col min="30" max="30" width="13.83203125" customWidth="1"/>
    <col min="31" max="31" width="12" customWidth="1"/>
    <col min="32" max="32" width="13.83203125" customWidth="1"/>
    <col min="33" max="34" width="12" customWidth="1"/>
    <col min="35" max="35" width="13.83203125" customWidth="1"/>
    <col min="36" max="40" width="12" customWidth="1"/>
    <col min="41" max="45" width="12.5" customWidth="1"/>
    <col min="46" max="46" width="12" customWidth="1"/>
    <col min="47" max="47" width="12.5" bestFit="1" customWidth="1"/>
    <col min="48" max="48" width="21.6640625" customWidth="1"/>
    <col min="49" max="49" width="11.5" bestFit="1" customWidth="1"/>
    <col min="51" max="51" width="10.5" bestFit="1" customWidth="1"/>
  </cols>
  <sheetData>
    <row r="1" spans="1:35" x14ac:dyDescent="0.15">
      <c r="A1" s="315" t="s">
        <v>40</v>
      </c>
      <c r="B1" s="316"/>
      <c r="C1" s="316"/>
      <c r="D1" s="316"/>
      <c r="E1" s="316"/>
      <c r="F1" s="316"/>
      <c r="G1" s="317"/>
    </row>
    <row r="2" spans="1:35" x14ac:dyDescent="0.15">
      <c r="A2" s="318"/>
      <c r="B2" s="319"/>
      <c r="C2" s="319"/>
      <c r="D2" s="319"/>
      <c r="E2" s="319"/>
      <c r="F2" s="319"/>
      <c r="G2" s="320"/>
    </row>
    <row r="3" spans="1:35" x14ac:dyDescent="0.15">
      <c r="A3" s="321" t="s">
        <v>64</v>
      </c>
      <c r="B3" s="322"/>
      <c r="C3" s="322"/>
      <c r="D3" s="322"/>
      <c r="E3" s="322"/>
      <c r="F3" s="322"/>
      <c r="G3" s="323"/>
    </row>
    <row r="4" spans="1:35" ht="14" thickBot="1" x14ac:dyDescent="0.2">
      <c r="A4" s="7"/>
      <c r="B4" s="5"/>
      <c r="C4" s="5"/>
      <c r="D4" s="5"/>
      <c r="E4" s="5"/>
      <c r="F4" s="5"/>
      <c r="G4" s="6"/>
    </row>
    <row r="5" spans="1:35" ht="14" thickBot="1" x14ac:dyDescent="0.2">
      <c r="A5" s="14" t="s">
        <v>0</v>
      </c>
      <c r="B5" s="68" t="s">
        <v>18</v>
      </c>
      <c r="C5" s="5"/>
      <c r="D5" s="5"/>
      <c r="E5" s="5"/>
      <c r="F5" s="5"/>
      <c r="G5" s="6"/>
      <c r="N5" s="272" t="s">
        <v>27</v>
      </c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4"/>
    </row>
    <row r="6" spans="1:35" x14ac:dyDescent="0.15">
      <c r="A6" s="57"/>
      <c r="B6" s="5"/>
      <c r="C6" s="5"/>
      <c r="D6" s="5"/>
      <c r="E6" s="5"/>
      <c r="F6" s="5"/>
      <c r="G6" s="6"/>
      <c r="N6" s="36" t="s">
        <v>37</v>
      </c>
      <c r="O6" s="36" t="s">
        <v>0</v>
      </c>
      <c r="P6" s="37" t="s">
        <v>1</v>
      </c>
      <c r="Q6" s="269" t="s">
        <v>26</v>
      </c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1"/>
      <c r="AG6" s="275" t="s">
        <v>41</v>
      </c>
      <c r="AH6" s="276"/>
      <c r="AI6" s="277"/>
    </row>
    <row r="7" spans="1:35" x14ac:dyDescent="0.15">
      <c r="A7" s="14" t="s">
        <v>1</v>
      </c>
      <c r="B7" s="68">
        <v>3</v>
      </c>
      <c r="C7" s="8" t="s">
        <v>25</v>
      </c>
      <c r="D7" s="5"/>
      <c r="E7" s="5"/>
      <c r="F7" s="2"/>
      <c r="G7" s="6"/>
      <c r="I7" s="28"/>
      <c r="J7" s="28"/>
      <c r="N7" s="38"/>
      <c r="O7" s="38"/>
      <c r="P7" s="39"/>
      <c r="Q7" s="20" t="s">
        <v>18</v>
      </c>
      <c r="R7" s="18" t="s">
        <v>49</v>
      </c>
      <c r="S7" s="18" t="s">
        <v>19</v>
      </c>
      <c r="T7" s="18" t="s">
        <v>49</v>
      </c>
      <c r="U7" s="18" t="s">
        <v>20</v>
      </c>
      <c r="V7" s="18" t="s">
        <v>49</v>
      </c>
      <c r="W7" s="18" t="s">
        <v>21</v>
      </c>
      <c r="X7" s="18" t="s">
        <v>49</v>
      </c>
      <c r="Y7" s="18" t="s">
        <v>22</v>
      </c>
      <c r="Z7" s="18" t="s">
        <v>49</v>
      </c>
      <c r="AA7" s="18" t="s">
        <v>23</v>
      </c>
      <c r="AB7" s="18" t="s">
        <v>49</v>
      </c>
      <c r="AC7" s="18" t="s">
        <v>24</v>
      </c>
      <c r="AD7" s="18" t="s">
        <v>49</v>
      </c>
      <c r="AE7" s="18" t="s">
        <v>28</v>
      </c>
      <c r="AF7" s="18" t="s">
        <v>49</v>
      </c>
      <c r="AG7" s="27" t="s">
        <v>42</v>
      </c>
      <c r="AH7" s="1"/>
      <c r="AI7" s="18" t="s">
        <v>49</v>
      </c>
    </row>
    <row r="8" spans="1:35" x14ac:dyDescent="0.15">
      <c r="A8" s="7"/>
      <c r="B8" s="5"/>
      <c r="C8" s="5"/>
      <c r="D8" s="5"/>
      <c r="E8" s="5"/>
      <c r="F8" s="8"/>
      <c r="G8" s="6"/>
      <c r="J8" s="63"/>
      <c r="N8" s="38" t="s">
        <v>38</v>
      </c>
      <c r="O8" s="38" t="s">
        <v>18</v>
      </c>
      <c r="P8" s="39">
        <v>1.5</v>
      </c>
      <c r="Q8" s="21">
        <v>2135</v>
      </c>
      <c r="R8" s="17">
        <f>IF(AND($B$5=$Q$7,$B$7=$P8),Q8,0)</f>
        <v>0</v>
      </c>
      <c r="S8" s="19">
        <v>2354</v>
      </c>
      <c r="T8" s="17">
        <f>IF(AND($B$5=$S$7,$B$7=$P8),S8,0)</f>
        <v>0</v>
      </c>
      <c r="U8" s="19">
        <v>2409</v>
      </c>
      <c r="V8" s="17">
        <f>IF(AND($B$5=$U$7,$B$7=$P8),U8,0)</f>
        <v>0</v>
      </c>
      <c r="W8" s="19">
        <v>2299</v>
      </c>
      <c r="X8" s="17">
        <f t="shared" ref="X8:X17" si="0">IF(AND($B$5=$W$7,$B$7=$P8),W8,0)</f>
        <v>0</v>
      </c>
      <c r="Y8" s="19">
        <v>2299</v>
      </c>
      <c r="Z8" s="17">
        <f>IF(AND($B$5=$Y$7,$B$7=$P8),Y8,0)</f>
        <v>0</v>
      </c>
      <c r="AA8" s="19">
        <v>1916</v>
      </c>
      <c r="AB8" s="17">
        <f>IF(AND($B$5=$AA$7,$B$7=$P8),AA8,0)</f>
        <v>0</v>
      </c>
      <c r="AC8" s="19">
        <v>1971</v>
      </c>
      <c r="AD8" s="17">
        <f>IF(AND($B$5=$AC$7,$B$7=$P8),AC8,0)</f>
        <v>0</v>
      </c>
      <c r="AE8" s="19">
        <v>2409</v>
      </c>
      <c r="AF8" s="42">
        <f>IF(AND($B$5=$AE$7,$B$7=$P8),AE8,0)</f>
        <v>0</v>
      </c>
      <c r="AG8" s="3" t="s">
        <v>18</v>
      </c>
      <c r="AH8" s="25">
        <v>0.08</v>
      </c>
      <c r="AI8" s="44">
        <f>IF($B$5=AG8,AH8,0)</f>
        <v>0.08</v>
      </c>
    </row>
    <row r="9" spans="1:35" ht="14" thickBot="1" x14ac:dyDescent="0.2">
      <c r="A9" s="282" t="s">
        <v>2</v>
      </c>
      <c r="B9" s="283"/>
      <c r="C9" s="284"/>
      <c r="D9" s="304">
        <v>6685</v>
      </c>
      <c r="E9" s="5"/>
      <c r="F9" s="77"/>
      <c r="G9" s="6"/>
      <c r="J9" s="28"/>
      <c r="K9" s="28"/>
      <c r="N9" s="40" t="s">
        <v>39</v>
      </c>
      <c r="O9" s="38" t="s">
        <v>19</v>
      </c>
      <c r="P9" s="39">
        <v>2</v>
      </c>
      <c r="Q9" s="21">
        <v>2847</v>
      </c>
      <c r="R9" s="17">
        <f t="shared" ref="R9:R17" si="1">IF(AND($B$5=$Q$7,$B$7=P9),Q9,0)</f>
        <v>0</v>
      </c>
      <c r="S9" s="19">
        <v>3139</v>
      </c>
      <c r="T9" s="17">
        <f t="shared" ref="T9:T17" si="2">IF(AND($B$5=$S$7,$B$7=$P9),S9,0)</f>
        <v>0</v>
      </c>
      <c r="U9" s="19">
        <v>3212</v>
      </c>
      <c r="V9" s="17">
        <f t="shared" ref="V9:V17" si="3">IF(AND($B$5=$U$7,$B$7=$P9),U9,0)</f>
        <v>0</v>
      </c>
      <c r="W9" s="19">
        <v>3066</v>
      </c>
      <c r="X9" s="17">
        <f t="shared" si="0"/>
        <v>0</v>
      </c>
      <c r="Y9" s="19">
        <v>3066</v>
      </c>
      <c r="Z9" s="17">
        <f t="shared" ref="Z9:Z17" si="4">IF(AND($B$5=$Y$7,$B$7=$P9),Y9,0)</f>
        <v>0</v>
      </c>
      <c r="AA9" s="19">
        <v>2555</v>
      </c>
      <c r="AB9" s="17">
        <f t="shared" ref="AB9:AB17" si="5">IF(AND($B$5=$AA$7,$B$7=$P9),AA9,0)</f>
        <v>0</v>
      </c>
      <c r="AC9" s="19">
        <v>2628</v>
      </c>
      <c r="AD9" s="17">
        <f t="shared" ref="AD9:AD17" si="6">IF(AND($B$5=$AC$7,$B$7=$P9),AC9,0)</f>
        <v>0</v>
      </c>
      <c r="AE9" s="19">
        <v>3212</v>
      </c>
      <c r="AF9" s="42">
        <f t="shared" ref="AF9:AF17" si="7">IF(AND($B$5=$AE$7,$B$7=$P9),AE9,0)</f>
        <v>0</v>
      </c>
      <c r="AG9" s="3" t="s">
        <v>19</v>
      </c>
      <c r="AH9" s="25">
        <v>0.08</v>
      </c>
      <c r="AI9" s="44">
        <f t="shared" ref="AI9:AI15" si="8">IF($B$5=AG9,AH9,0)</f>
        <v>0</v>
      </c>
    </row>
    <row r="10" spans="1:35" x14ac:dyDescent="0.15">
      <c r="A10" s="282"/>
      <c r="B10" s="283"/>
      <c r="C10" s="284"/>
      <c r="D10" s="305"/>
      <c r="E10" s="5"/>
      <c r="F10" s="5"/>
      <c r="G10" s="6"/>
      <c r="I10" s="28"/>
      <c r="J10" s="47"/>
      <c r="N10" s="34"/>
      <c r="O10" s="38" t="s">
        <v>20</v>
      </c>
      <c r="P10" s="39">
        <v>3</v>
      </c>
      <c r="Q10" s="21">
        <v>4270</v>
      </c>
      <c r="R10" s="17">
        <f t="shared" si="1"/>
        <v>4270</v>
      </c>
      <c r="S10" s="19">
        <v>4708</v>
      </c>
      <c r="T10" s="17">
        <f t="shared" si="2"/>
        <v>0</v>
      </c>
      <c r="U10" s="19">
        <v>4818</v>
      </c>
      <c r="V10" s="17">
        <f t="shared" si="3"/>
        <v>0</v>
      </c>
      <c r="W10" s="19">
        <v>4599</v>
      </c>
      <c r="X10" s="17">
        <f t="shared" si="0"/>
        <v>0</v>
      </c>
      <c r="Y10" s="19">
        <v>4599</v>
      </c>
      <c r="Z10" s="17">
        <f t="shared" si="4"/>
        <v>0</v>
      </c>
      <c r="AA10" s="19">
        <v>3832</v>
      </c>
      <c r="AB10" s="17">
        <f t="shared" si="5"/>
        <v>0</v>
      </c>
      <c r="AC10" s="19">
        <v>3942</v>
      </c>
      <c r="AD10" s="17">
        <f t="shared" si="6"/>
        <v>0</v>
      </c>
      <c r="AE10" s="19">
        <v>4818</v>
      </c>
      <c r="AF10" s="42">
        <f t="shared" si="7"/>
        <v>0</v>
      </c>
      <c r="AG10" s="3" t="s">
        <v>20</v>
      </c>
      <c r="AH10" s="25">
        <v>0.2</v>
      </c>
      <c r="AI10" s="44">
        <f t="shared" si="8"/>
        <v>0</v>
      </c>
    </row>
    <row r="11" spans="1:35" x14ac:dyDescent="0.15">
      <c r="A11" s="9"/>
      <c r="B11" s="10"/>
      <c r="C11" s="10"/>
      <c r="D11" s="5"/>
      <c r="E11" s="5"/>
      <c r="F11" s="5"/>
      <c r="G11" s="6"/>
      <c r="I11" s="28"/>
      <c r="J11" s="47"/>
      <c r="N11" s="34"/>
      <c r="O11" s="38" t="s">
        <v>21</v>
      </c>
      <c r="P11" s="39">
        <v>4</v>
      </c>
      <c r="Q11" s="21">
        <v>5694</v>
      </c>
      <c r="R11" s="17">
        <f t="shared" si="1"/>
        <v>0</v>
      </c>
      <c r="S11" s="19">
        <v>6278</v>
      </c>
      <c r="T11" s="17">
        <f t="shared" si="2"/>
        <v>0</v>
      </c>
      <c r="U11" s="19">
        <v>6424</v>
      </c>
      <c r="V11" s="17">
        <f t="shared" si="3"/>
        <v>0</v>
      </c>
      <c r="W11" s="19">
        <v>6132</v>
      </c>
      <c r="X11" s="17">
        <f t="shared" si="0"/>
        <v>0</v>
      </c>
      <c r="Y11" s="19">
        <v>6132</v>
      </c>
      <c r="Z11" s="17">
        <f t="shared" si="4"/>
        <v>0</v>
      </c>
      <c r="AA11" s="19">
        <v>5110</v>
      </c>
      <c r="AB11" s="17">
        <f t="shared" si="5"/>
        <v>0</v>
      </c>
      <c r="AC11" s="19">
        <v>5256</v>
      </c>
      <c r="AD11" s="17">
        <f t="shared" si="6"/>
        <v>0</v>
      </c>
      <c r="AE11" s="19">
        <v>6424</v>
      </c>
      <c r="AF11" s="42">
        <f t="shared" si="7"/>
        <v>0</v>
      </c>
      <c r="AG11" s="3" t="s">
        <v>21</v>
      </c>
      <c r="AH11" s="25">
        <v>0.08</v>
      </c>
      <c r="AI11" s="44">
        <f t="shared" si="8"/>
        <v>0</v>
      </c>
    </row>
    <row r="12" spans="1:35" x14ac:dyDescent="0.15">
      <c r="A12" s="278" t="s">
        <v>3</v>
      </c>
      <c r="B12" s="279"/>
      <c r="C12" s="297"/>
      <c r="D12" s="52">
        <f>IF(B7&gt;0,SUM(R18,T18,V18,X18,Z18,AB18,AD18,AF18),"")</f>
        <v>4270</v>
      </c>
      <c r="E12" s="8" t="s">
        <v>7</v>
      </c>
      <c r="F12" s="5"/>
      <c r="G12" s="6"/>
      <c r="J12" s="47"/>
      <c r="N12" s="34"/>
      <c r="O12" s="38" t="s">
        <v>22</v>
      </c>
      <c r="P12" s="39">
        <v>5</v>
      </c>
      <c r="Q12" s="21">
        <v>7117</v>
      </c>
      <c r="R12" s="17">
        <f t="shared" si="1"/>
        <v>0</v>
      </c>
      <c r="S12" s="19">
        <v>7847</v>
      </c>
      <c r="T12" s="17">
        <f t="shared" si="2"/>
        <v>0</v>
      </c>
      <c r="U12" s="19">
        <v>8030</v>
      </c>
      <c r="V12" s="17">
        <f t="shared" si="3"/>
        <v>0</v>
      </c>
      <c r="W12" s="19">
        <v>7665</v>
      </c>
      <c r="X12" s="17">
        <f t="shared" si="0"/>
        <v>0</v>
      </c>
      <c r="Y12" s="19">
        <v>7665</v>
      </c>
      <c r="Z12" s="17">
        <f t="shared" si="4"/>
        <v>0</v>
      </c>
      <c r="AA12" s="19">
        <v>6387</v>
      </c>
      <c r="AB12" s="17">
        <f t="shared" si="5"/>
        <v>0</v>
      </c>
      <c r="AC12" s="19">
        <v>6570</v>
      </c>
      <c r="AD12" s="17">
        <f t="shared" si="6"/>
        <v>0</v>
      </c>
      <c r="AE12" s="19">
        <v>8030</v>
      </c>
      <c r="AF12" s="42">
        <f t="shared" si="7"/>
        <v>0</v>
      </c>
      <c r="AG12" s="3" t="s">
        <v>22</v>
      </c>
      <c r="AH12" s="25">
        <v>0.1</v>
      </c>
      <c r="AI12" s="44">
        <f t="shared" si="8"/>
        <v>0</v>
      </c>
    </row>
    <row r="13" spans="1:35" x14ac:dyDescent="0.15">
      <c r="A13" s="7"/>
      <c r="B13" s="5"/>
      <c r="C13" s="5"/>
      <c r="D13" s="5"/>
      <c r="E13" s="5"/>
      <c r="F13" s="5"/>
      <c r="G13" s="6"/>
      <c r="J13" s="47"/>
      <c r="N13" s="34"/>
      <c r="O13" s="38" t="s">
        <v>23</v>
      </c>
      <c r="P13" s="39">
        <v>6</v>
      </c>
      <c r="Q13" s="21">
        <v>8541</v>
      </c>
      <c r="R13" s="17">
        <f t="shared" si="1"/>
        <v>0</v>
      </c>
      <c r="S13" s="19">
        <v>9417</v>
      </c>
      <c r="T13" s="17">
        <f t="shared" si="2"/>
        <v>0</v>
      </c>
      <c r="U13" s="19">
        <v>9636</v>
      </c>
      <c r="V13" s="17">
        <f t="shared" si="3"/>
        <v>0</v>
      </c>
      <c r="W13" s="19">
        <v>9198</v>
      </c>
      <c r="X13" s="17">
        <f t="shared" si="0"/>
        <v>0</v>
      </c>
      <c r="Y13" s="19">
        <v>9198</v>
      </c>
      <c r="Z13" s="17">
        <f t="shared" si="4"/>
        <v>0</v>
      </c>
      <c r="AA13" s="19">
        <v>7665</v>
      </c>
      <c r="AB13" s="17">
        <f t="shared" si="5"/>
        <v>0</v>
      </c>
      <c r="AC13" s="19">
        <v>7884</v>
      </c>
      <c r="AD13" s="17">
        <f t="shared" si="6"/>
        <v>0</v>
      </c>
      <c r="AE13" s="19">
        <v>9636</v>
      </c>
      <c r="AF13" s="42">
        <f t="shared" si="7"/>
        <v>0</v>
      </c>
      <c r="AG13" s="3" t="s">
        <v>23</v>
      </c>
      <c r="AH13" s="25">
        <v>0.08</v>
      </c>
      <c r="AI13" s="44">
        <f t="shared" si="8"/>
        <v>0</v>
      </c>
    </row>
    <row r="14" spans="1:35" x14ac:dyDescent="0.15">
      <c r="A14" s="282" t="s">
        <v>4</v>
      </c>
      <c r="B14" s="284"/>
      <c r="C14" s="285">
        <v>0.3</v>
      </c>
      <c r="D14" s="5"/>
      <c r="E14" s="5"/>
      <c r="F14" s="5"/>
      <c r="G14" s="6"/>
      <c r="J14" s="28"/>
      <c r="N14" s="34"/>
      <c r="O14" s="38" t="s">
        <v>24</v>
      </c>
      <c r="P14" s="39">
        <v>7</v>
      </c>
      <c r="Q14" s="21">
        <v>9964</v>
      </c>
      <c r="R14" s="17">
        <f t="shared" si="1"/>
        <v>0</v>
      </c>
      <c r="S14" s="19">
        <v>10986</v>
      </c>
      <c r="T14" s="17">
        <f t="shared" si="2"/>
        <v>0</v>
      </c>
      <c r="U14" s="19">
        <v>11242</v>
      </c>
      <c r="V14" s="17">
        <f t="shared" si="3"/>
        <v>0</v>
      </c>
      <c r="W14" s="19">
        <v>10731</v>
      </c>
      <c r="X14" s="17">
        <f t="shared" si="0"/>
        <v>0</v>
      </c>
      <c r="Y14" s="19">
        <v>10731</v>
      </c>
      <c r="Z14" s="17">
        <f t="shared" si="4"/>
        <v>0</v>
      </c>
      <c r="AA14" s="19">
        <v>8942</v>
      </c>
      <c r="AB14" s="17">
        <f t="shared" si="5"/>
        <v>0</v>
      </c>
      <c r="AC14" s="19">
        <v>9198</v>
      </c>
      <c r="AD14" s="17">
        <f t="shared" si="6"/>
        <v>0</v>
      </c>
      <c r="AE14" s="19">
        <v>11242</v>
      </c>
      <c r="AF14" s="42">
        <f t="shared" si="7"/>
        <v>0</v>
      </c>
      <c r="AG14" s="3" t="s">
        <v>24</v>
      </c>
      <c r="AH14" s="25">
        <v>0.08</v>
      </c>
      <c r="AI14" s="44">
        <f t="shared" si="8"/>
        <v>0</v>
      </c>
    </row>
    <row r="15" spans="1:35" ht="14" thickBot="1" x14ac:dyDescent="0.2">
      <c r="A15" s="282"/>
      <c r="B15" s="284"/>
      <c r="C15" s="286"/>
      <c r="D15" s="8" t="s">
        <v>29</v>
      </c>
      <c r="E15" s="5"/>
      <c r="F15" s="5"/>
      <c r="G15" s="6"/>
      <c r="N15" s="34"/>
      <c r="O15" s="40" t="s">
        <v>28</v>
      </c>
      <c r="P15" s="39">
        <v>8</v>
      </c>
      <c r="Q15" s="21">
        <v>11388</v>
      </c>
      <c r="R15" s="17">
        <f t="shared" si="1"/>
        <v>0</v>
      </c>
      <c r="S15" s="19">
        <v>12556</v>
      </c>
      <c r="T15" s="17">
        <f t="shared" si="2"/>
        <v>0</v>
      </c>
      <c r="U15" s="19">
        <v>12848</v>
      </c>
      <c r="V15" s="17">
        <f t="shared" si="3"/>
        <v>0</v>
      </c>
      <c r="W15" s="19">
        <v>12264</v>
      </c>
      <c r="X15" s="17">
        <f t="shared" si="0"/>
        <v>0</v>
      </c>
      <c r="Y15" s="19">
        <v>12264</v>
      </c>
      <c r="Z15" s="17">
        <f t="shared" si="4"/>
        <v>0</v>
      </c>
      <c r="AA15" s="19">
        <v>10220</v>
      </c>
      <c r="AB15" s="17">
        <f t="shared" si="5"/>
        <v>0</v>
      </c>
      <c r="AC15" s="19">
        <v>10512</v>
      </c>
      <c r="AD15" s="17">
        <f t="shared" si="6"/>
        <v>0</v>
      </c>
      <c r="AE15" s="19">
        <v>12848</v>
      </c>
      <c r="AF15" s="42">
        <f t="shared" si="7"/>
        <v>0</v>
      </c>
      <c r="AG15" s="4" t="s">
        <v>28</v>
      </c>
      <c r="AH15" s="26">
        <v>0.08</v>
      </c>
      <c r="AI15" s="45">
        <f t="shared" si="8"/>
        <v>0</v>
      </c>
    </row>
    <row r="16" spans="1:35" x14ac:dyDescent="0.15">
      <c r="A16" s="7"/>
      <c r="B16" s="5"/>
      <c r="C16" s="5"/>
      <c r="D16" s="5"/>
      <c r="E16" s="5"/>
      <c r="F16" s="5"/>
      <c r="G16" s="6"/>
      <c r="N16" s="34"/>
      <c r="O16" s="34"/>
      <c r="P16" s="39">
        <v>9</v>
      </c>
      <c r="Q16" s="21">
        <v>12811</v>
      </c>
      <c r="R16" s="17">
        <f t="shared" si="1"/>
        <v>0</v>
      </c>
      <c r="S16" s="19">
        <v>14125</v>
      </c>
      <c r="T16" s="17">
        <f t="shared" si="2"/>
        <v>0</v>
      </c>
      <c r="U16" s="19">
        <v>14454</v>
      </c>
      <c r="V16" s="17">
        <f t="shared" si="3"/>
        <v>0</v>
      </c>
      <c r="W16" s="19">
        <v>13797</v>
      </c>
      <c r="X16" s="17">
        <f t="shared" si="0"/>
        <v>0</v>
      </c>
      <c r="Y16" s="19">
        <v>13797</v>
      </c>
      <c r="Z16" s="17">
        <f t="shared" si="4"/>
        <v>0</v>
      </c>
      <c r="AA16" s="19">
        <v>11497</v>
      </c>
      <c r="AB16" s="17">
        <f t="shared" si="5"/>
        <v>0</v>
      </c>
      <c r="AC16" s="19">
        <v>11826</v>
      </c>
      <c r="AD16" s="17">
        <f t="shared" si="6"/>
        <v>0</v>
      </c>
      <c r="AE16" s="19">
        <v>14454</v>
      </c>
      <c r="AF16" s="42">
        <f t="shared" si="7"/>
        <v>0</v>
      </c>
    </row>
    <row r="17" spans="1:32" ht="14" thickBot="1" x14ac:dyDescent="0.2">
      <c r="A17" s="278" t="s">
        <v>5</v>
      </c>
      <c r="B17" s="297"/>
      <c r="C17" s="68">
        <v>30</v>
      </c>
      <c r="D17" s="8" t="s">
        <v>6</v>
      </c>
      <c r="E17" s="5"/>
      <c r="F17" s="5"/>
      <c r="G17" s="6"/>
      <c r="N17" s="34"/>
      <c r="O17" s="34"/>
      <c r="P17" s="41">
        <v>10</v>
      </c>
      <c r="Q17" s="22">
        <v>14235</v>
      </c>
      <c r="R17" s="35">
        <f t="shared" si="1"/>
        <v>0</v>
      </c>
      <c r="S17" s="23">
        <v>15695</v>
      </c>
      <c r="T17" s="35">
        <f t="shared" si="2"/>
        <v>0</v>
      </c>
      <c r="U17" s="23">
        <v>16060</v>
      </c>
      <c r="V17" s="35">
        <f t="shared" si="3"/>
        <v>0</v>
      </c>
      <c r="W17" s="23">
        <v>15330</v>
      </c>
      <c r="X17" s="35">
        <f t="shared" si="0"/>
        <v>0</v>
      </c>
      <c r="Y17" s="23">
        <v>15330</v>
      </c>
      <c r="Z17" s="35">
        <f t="shared" si="4"/>
        <v>0</v>
      </c>
      <c r="AA17" s="23">
        <v>12775</v>
      </c>
      <c r="AB17" s="35">
        <f t="shared" si="5"/>
        <v>0</v>
      </c>
      <c r="AC17" s="23">
        <v>13140</v>
      </c>
      <c r="AD17" s="35">
        <f t="shared" si="6"/>
        <v>0</v>
      </c>
      <c r="AE17" s="23">
        <v>16060</v>
      </c>
      <c r="AF17" s="43">
        <f t="shared" si="7"/>
        <v>0</v>
      </c>
    </row>
    <row r="18" spans="1:32" x14ac:dyDescent="0.15">
      <c r="A18" s="7"/>
      <c r="B18" s="5"/>
      <c r="C18" s="5"/>
      <c r="D18" s="5"/>
      <c r="E18" s="5"/>
      <c r="F18" s="5"/>
      <c r="G18" s="6"/>
      <c r="P18" s="2"/>
      <c r="R18" s="46">
        <f>SUM(R8:R17)</f>
        <v>4270</v>
      </c>
      <c r="T18" s="46">
        <f>SUM(T8:T17)</f>
        <v>0</v>
      </c>
      <c r="V18" s="46">
        <f>SUM(V8:V17)</f>
        <v>0</v>
      </c>
      <c r="X18" s="46">
        <f>SUM(X8:X17)</f>
        <v>0</v>
      </c>
      <c r="Z18" s="46">
        <f>SUM(Z8:Z17)</f>
        <v>0</v>
      </c>
      <c r="AB18" s="46">
        <f>SUM(AB8:AB17)</f>
        <v>0</v>
      </c>
      <c r="AD18" s="46">
        <f>SUM(AD8:AD17)</f>
        <v>0</v>
      </c>
      <c r="AF18" s="46">
        <f>SUM(AF8:AF17)</f>
        <v>0</v>
      </c>
    </row>
    <row r="19" spans="1:32" x14ac:dyDescent="0.15">
      <c r="A19" s="278" t="s">
        <v>56</v>
      </c>
      <c r="B19" s="279"/>
      <c r="C19" s="76">
        <v>0</v>
      </c>
      <c r="D19" s="8" t="s">
        <v>57</v>
      </c>
      <c r="E19" s="5"/>
      <c r="F19" s="5"/>
      <c r="G19" s="6"/>
    </row>
    <row r="20" spans="1:32" x14ac:dyDescent="0.15">
      <c r="A20" s="7"/>
      <c r="B20" s="5"/>
      <c r="C20" s="5"/>
      <c r="D20" s="5"/>
      <c r="E20" s="5"/>
      <c r="F20" s="5"/>
      <c r="G20" s="6"/>
    </row>
    <row r="21" spans="1:32" x14ac:dyDescent="0.15">
      <c r="A21" s="278" t="s">
        <v>58</v>
      </c>
      <c r="B21" s="279"/>
      <c r="C21" s="80">
        <v>7.0000000000000007E-2</v>
      </c>
      <c r="D21" s="5"/>
      <c r="E21" s="75" t="s">
        <v>59</v>
      </c>
      <c r="F21" s="53">
        <v>6</v>
      </c>
      <c r="G21" s="78" t="s">
        <v>6</v>
      </c>
      <c r="J21" s="32"/>
    </row>
    <row r="22" spans="1:32" ht="14" thickBot="1" x14ac:dyDescent="0.2">
      <c r="A22" s="7"/>
      <c r="B22" s="5"/>
      <c r="C22" s="5"/>
      <c r="D22" s="5"/>
      <c r="E22" s="5"/>
      <c r="F22" s="5"/>
      <c r="G22" s="6"/>
      <c r="J22" s="33"/>
    </row>
    <row r="23" spans="1:32" ht="17" thickBot="1" x14ac:dyDescent="0.25">
      <c r="A23" s="301" t="s">
        <v>8</v>
      </c>
      <c r="B23" s="302"/>
      <c r="C23" s="302"/>
      <c r="D23" s="302"/>
      <c r="E23" s="302"/>
      <c r="F23" s="302"/>
      <c r="G23" s="303"/>
      <c r="J23" s="34"/>
      <c r="N23" s="34"/>
      <c r="O23" s="34"/>
      <c r="P23" s="34"/>
    </row>
    <row r="24" spans="1:32" ht="13" customHeight="1" x14ac:dyDescent="0.15">
      <c r="A24" s="7"/>
      <c r="B24" s="5"/>
      <c r="C24" s="5"/>
      <c r="D24" s="5"/>
      <c r="E24" s="5"/>
      <c r="F24" s="5"/>
      <c r="G24" s="6"/>
      <c r="J24" s="34"/>
    </row>
    <row r="25" spans="1:32" x14ac:dyDescent="0.15">
      <c r="A25" s="278" t="s">
        <v>9</v>
      </c>
      <c r="B25" s="297"/>
      <c r="C25" s="69">
        <v>7.0000000000000007E-2</v>
      </c>
      <c r="D25" s="8" t="s">
        <v>30</v>
      </c>
      <c r="E25" s="5"/>
      <c r="F25" s="5"/>
      <c r="G25" s="6"/>
      <c r="J25" s="33"/>
      <c r="L25" s="28"/>
    </row>
    <row r="26" spans="1:32" x14ac:dyDescent="0.15">
      <c r="A26" s="7"/>
      <c r="B26" s="5"/>
      <c r="C26" s="54"/>
      <c r="D26" s="5"/>
      <c r="E26" s="5"/>
      <c r="F26" s="5"/>
      <c r="G26" s="6"/>
      <c r="L26" s="28"/>
    </row>
    <row r="27" spans="1:32" x14ac:dyDescent="0.15">
      <c r="A27" s="278" t="s">
        <v>10</v>
      </c>
      <c r="B27" s="297"/>
      <c r="C27" s="70">
        <v>0.4</v>
      </c>
      <c r="D27" s="8" t="s">
        <v>31</v>
      </c>
      <c r="E27" s="5"/>
      <c r="F27" s="5"/>
      <c r="G27" s="6"/>
    </row>
    <row r="28" spans="1:32" x14ac:dyDescent="0.15">
      <c r="A28" s="7"/>
      <c r="B28" s="5"/>
      <c r="C28" s="54"/>
      <c r="D28" s="5"/>
      <c r="E28" s="5"/>
      <c r="F28" s="5"/>
      <c r="G28" s="6"/>
      <c r="J28" s="56"/>
    </row>
    <row r="29" spans="1:32" x14ac:dyDescent="0.15">
      <c r="A29" s="278" t="s">
        <v>11</v>
      </c>
      <c r="B29" s="297"/>
      <c r="C29" s="55">
        <f>IF(B7&gt;0,SUM(AI8:AI15),"")</f>
        <v>0.08</v>
      </c>
      <c r="D29" s="8" t="s">
        <v>34</v>
      </c>
      <c r="E29" s="5"/>
      <c r="F29" s="5"/>
      <c r="G29" s="6"/>
      <c r="J29" s="56"/>
    </row>
    <row r="30" spans="1:32" x14ac:dyDescent="0.15">
      <c r="A30" s="7"/>
      <c r="B30" s="5"/>
      <c r="C30" s="54"/>
      <c r="D30" s="5"/>
      <c r="E30" s="5"/>
      <c r="F30" s="5"/>
      <c r="G30" s="6"/>
    </row>
    <row r="31" spans="1:32" x14ac:dyDescent="0.15">
      <c r="A31" s="278" t="s">
        <v>12</v>
      </c>
      <c r="B31" s="297"/>
      <c r="C31" s="53">
        <v>30</v>
      </c>
      <c r="D31" s="8" t="s">
        <v>6</v>
      </c>
      <c r="E31" s="5"/>
      <c r="F31" s="5"/>
      <c r="G31" s="6"/>
    </row>
    <row r="32" spans="1:32" x14ac:dyDescent="0.15">
      <c r="A32" s="7"/>
      <c r="B32" s="5"/>
      <c r="C32" s="5"/>
      <c r="D32" s="5"/>
      <c r="E32" s="5"/>
      <c r="F32" s="5"/>
      <c r="G32" s="6"/>
    </row>
    <row r="33" spans="1:20" x14ac:dyDescent="0.15">
      <c r="A33" s="7"/>
      <c r="B33" s="15" t="s">
        <v>36</v>
      </c>
      <c r="C33" s="5"/>
      <c r="D33" s="5"/>
      <c r="E33" s="5"/>
      <c r="F33" s="5"/>
      <c r="G33" s="6"/>
    </row>
    <row r="34" spans="1:20" x14ac:dyDescent="0.15">
      <c r="A34" s="14" t="s">
        <v>32</v>
      </c>
      <c r="B34" s="72" t="s">
        <v>39</v>
      </c>
      <c r="C34" s="16" t="s">
        <v>35</v>
      </c>
      <c r="D34" s="71">
        <v>0.1</v>
      </c>
      <c r="E34" s="280" t="s">
        <v>34</v>
      </c>
      <c r="F34" s="287"/>
      <c r="G34" s="6"/>
      <c r="N34" s="28"/>
    </row>
    <row r="35" spans="1:20" ht="13" customHeight="1" x14ac:dyDescent="0.15">
      <c r="A35" s="7"/>
      <c r="B35" s="5"/>
      <c r="C35" s="5"/>
      <c r="D35" s="5"/>
      <c r="E35" s="5"/>
      <c r="F35" s="5"/>
      <c r="G35" s="6"/>
      <c r="N35" s="28"/>
    </row>
    <row r="36" spans="1:20" x14ac:dyDescent="0.15">
      <c r="A36" s="278" t="s">
        <v>13</v>
      </c>
      <c r="B36" s="297"/>
      <c r="C36" s="73">
        <v>3.0000000000000001E-3</v>
      </c>
      <c r="D36" s="5"/>
      <c r="E36" s="5"/>
      <c r="F36" s="5"/>
      <c r="G36" s="6"/>
    </row>
    <row r="37" spans="1:20" x14ac:dyDescent="0.15">
      <c r="A37" s="7"/>
      <c r="B37" s="5"/>
      <c r="C37" s="5"/>
      <c r="D37" s="5"/>
      <c r="E37" s="5"/>
      <c r="F37" s="5"/>
      <c r="G37" s="6"/>
      <c r="N37" s="83"/>
    </row>
    <row r="38" spans="1:20" x14ac:dyDescent="0.15">
      <c r="A38" s="282" t="s">
        <v>14</v>
      </c>
      <c r="B38" s="283"/>
      <c r="C38" s="284"/>
      <c r="D38" s="74" t="s">
        <v>38</v>
      </c>
      <c r="E38" s="5"/>
      <c r="F38" s="5"/>
      <c r="G38" s="6"/>
    </row>
    <row r="39" spans="1:20" x14ac:dyDescent="0.15">
      <c r="A39" s="48"/>
      <c r="B39" s="49"/>
      <c r="C39" s="2"/>
      <c r="D39" s="50"/>
      <c r="E39" s="5"/>
      <c r="F39" s="5"/>
      <c r="G39" s="6"/>
    </row>
    <row r="40" spans="1:20" x14ac:dyDescent="0.15">
      <c r="A40" s="14" t="s">
        <v>15</v>
      </c>
      <c r="B40" s="71">
        <v>800</v>
      </c>
      <c r="C40" s="15" t="s">
        <v>33</v>
      </c>
      <c r="D40" s="68">
        <v>15</v>
      </c>
      <c r="E40" s="8" t="s">
        <v>6</v>
      </c>
      <c r="F40" s="5"/>
      <c r="G40" s="6"/>
    </row>
    <row r="41" spans="1:20" x14ac:dyDescent="0.15">
      <c r="A41" s="14"/>
      <c r="B41" s="51"/>
      <c r="C41" s="15"/>
      <c r="D41" s="5"/>
      <c r="E41" s="8"/>
      <c r="F41" s="5"/>
      <c r="G41" s="6"/>
    </row>
    <row r="42" spans="1:20" ht="14" thickBot="1" x14ac:dyDescent="0.2">
      <c r="A42" s="11"/>
      <c r="B42" s="12"/>
      <c r="C42" s="12"/>
      <c r="D42" s="12"/>
      <c r="E42" s="12"/>
      <c r="F42" s="12"/>
      <c r="G42" s="13"/>
    </row>
    <row r="43" spans="1:20" ht="14" thickBot="1" x14ac:dyDescent="0.2">
      <c r="K43" s="66"/>
      <c r="M43" s="28"/>
    </row>
    <row r="44" spans="1:20" x14ac:dyDescent="0.15">
      <c r="A44" s="59"/>
      <c r="B44" s="60"/>
      <c r="C44" s="60"/>
      <c r="D44" s="60"/>
      <c r="E44" s="60"/>
      <c r="F44" s="60"/>
      <c r="G44" s="60"/>
      <c r="H44" s="61"/>
      <c r="K44" s="66"/>
      <c r="R44" s="81"/>
    </row>
    <row r="45" spans="1:20" x14ac:dyDescent="0.15">
      <c r="A45" s="278" t="s">
        <v>43</v>
      </c>
      <c r="B45" s="279"/>
      <c r="C45" s="279"/>
      <c r="D45" s="279"/>
      <c r="E45" s="279"/>
      <c r="F45" s="29">
        <f>IF(AND(D38="Yes",D40&lt;=C17),X64*(F21*12)+B40+C19,X64*(F21*12)+C19)</f>
        <v>9006.0277950884156</v>
      </c>
      <c r="G45" s="5"/>
      <c r="H45" s="6"/>
      <c r="J45" s="28"/>
      <c r="K45" s="47"/>
      <c r="L45" s="30"/>
      <c r="Q45" s="30"/>
      <c r="R45" s="82"/>
      <c r="S45" s="30"/>
      <c r="T45" s="30"/>
    </row>
    <row r="46" spans="1:20" x14ac:dyDescent="0.15">
      <c r="A46" s="7"/>
      <c r="B46" s="5"/>
      <c r="C46" s="5"/>
      <c r="D46" s="5"/>
      <c r="E46" s="5"/>
      <c r="F46" s="2"/>
      <c r="G46" s="5"/>
      <c r="H46" s="6"/>
      <c r="K46" s="47"/>
      <c r="L46" s="28"/>
      <c r="M46" s="28"/>
      <c r="O46" s="28"/>
    </row>
    <row r="47" spans="1:20" x14ac:dyDescent="0.15">
      <c r="A47" s="278" t="s">
        <v>44</v>
      </c>
      <c r="B47" s="279"/>
      <c r="C47" s="279"/>
      <c r="D47" s="279"/>
      <c r="E47" s="279"/>
      <c r="F47" s="24">
        <f>SUM(R610:AU610)</f>
        <v>72318.835163457203</v>
      </c>
      <c r="G47" s="5"/>
      <c r="H47" s="6"/>
      <c r="K47" s="34"/>
      <c r="L47" s="28"/>
      <c r="M47" s="28"/>
      <c r="R47" s="63"/>
    </row>
    <row r="48" spans="1:20" x14ac:dyDescent="0.15">
      <c r="A48" s="7"/>
      <c r="B48" s="5"/>
      <c r="C48" s="5"/>
      <c r="D48" s="5"/>
      <c r="E48" s="5"/>
      <c r="F48" s="2"/>
      <c r="G48" s="5"/>
      <c r="H48" s="6"/>
      <c r="K48" s="66"/>
      <c r="L48" s="58"/>
      <c r="M48" s="28"/>
      <c r="R48" s="28"/>
    </row>
    <row r="49" spans="1:25" x14ac:dyDescent="0.15">
      <c r="A49" s="278" t="str">
        <f>IF(F49&gt;0,"Net Savings:","Net Cost")</f>
        <v>Net Savings:</v>
      </c>
      <c r="B49" s="279"/>
      <c r="C49" s="279"/>
      <c r="D49" s="279"/>
      <c r="E49" s="279"/>
      <c r="F49" s="29">
        <f>W61</f>
        <v>63300</v>
      </c>
      <c r="G49" s="5"/>
      <c r="H49" s="6"/>
      <c r="K49" s="66"/>
      <c r="L49" s="28"/>
      <c r="M49" s="28"/>
    </row>
    <row r="50" spans="1:25" x14ac:dyDescent="0.15">
      <c r="A50" s="7"/>
      <c r="B50" s="5"/>
      <c r="C50" s="5"/>
      <c r="D50" s="5"/>
      <c r="E50" s="5"/>
      <c r="F50" s="2"/>
      <c r="G50" s="5"/>
      <c r="H50" s="6"/>
      <c r="K50" s="34"/>
      <c r="L50" s="28"/>
      <c r="M50" s="28"/>
      <c r="O50" s="62"/>
      <c r="R50" s="64"/>
      <c r="S50" s="64"/>
    </row>
    <row r="51" spans="1:25" x14ac:dyDescent="0.15">
      <c r="A51" s="278" t="s">
        <v>45</v>
      </c>
      <c r="B51" s="279"/>
      <c r="C51" s="279"/>
      <c r="D51" s="279"/>
      <c r="E51" s="279"/>
      <c r="F51" s="17">
        <f>SUM(R614:AU614)</f>
        <v>8</v>
      </c>
      <c r="G51" s="8" t="s">
        <v>6</v>
      </c>
      <c r="H51" s="6"/>
      <c r="K51" s="66"/>
      <c r="M51" s="28"/>
      <c r="O51" s="62"/>
      <c r="T51" s="64"/>
      <c r="U51" s="64"/>
    </row>
    <row r="52" spans="1:25" x14ac:dyDescent="0.15">
      <c r="A52" s="7"/>
      <c r="B52" s="5"/>
      <c r="C52" s="5"/>
      <c r="D52" s="5"/>
      <c r="E52" s="5"/>
      <c r="F52" s="2"/>
      <c r="G52" s="5"/>
      <c r="H52" s="6"/>
      <c r="J52" s="28"/>
      <c r="K52" s="66"/>
      <c r="M52" s="28"/>
    </row>
    <row r="53" spans="1:25" x14ac:dyDescent="0.15">
      <c r="A53" s="278" t="s">
        <v>46</v>
      </c>
      <c r="B53" s="279"/>
      <c r="C53" s="279"/>
      <c r="D53" s="279"/>
      <c r="E53" s="279"/>
      <c r="F53" s="29">
        <f>(F45/S63)</f>
        <v>7.3631281204465562E-2</v>
      </c>
      <c r="G53" s="5"/>
      <c r="H53" s="6"/>
      <c r="K53" s="65"/>
    </row>
    <row r="54" spans="1:25" x14ac:dyDescent="0.15">
      <c r="A54" s="7"/>
      <c r="B54" s="5"/>
      <c r="C54" s="5"/>
      <c r="D54" s="5"/>
      <c r="E54" s="5"/>
      <c r="F54" s="5"/>
      <c r="G54" s="5"/>
      <c r="H54" s="6"/>
      <c r="I54" s="34"/>
      <c r="J54" s="34"/>
      <c r="K54" s="65"/>
      <c r="L54" s="34"/>
      <c r="M54" s="34"/>
      <c r="N54" s="34"/>
    </row>
    <row r="55" spans="1:25" x14ac:dyDescent="0.15">
      <c r="A55" s="278"/>
      <c r="B55" s="279"/>
      <c r="C55" s="279"/>
      <c r="D55" s="279"/>
      <c r="E55" s="279"/>
      <c r="F55" s="84"/>
      <c r="G55" s="5"/>
      <c r="H55" s="6"/>
      <c r="I55" s="79"/>
      <c r="J55" s="79"/>
      <c r="K55" s="79"/>
      <c r="L55" s="79"/>
      <c r="M55" s="79"/>
      <c r="N55" s="34"/>
    </row>
    <row r="56" spans="1:25" x14ac:dyDescent="0.15">
      <c r="A56" s="7"/>
      <c r="B56" s="5"/>
      <c r="C56" s="5"/>
      <c r="D56" s="5"/>
      <c r="E56" s="5"/>
      <c r="F56" s="5"/>
      <c r="G56" s="5"/>
      <c r="H56" s="6"/>
      <c r="I56" s="79"/>
      <c r="J56" s="79"/>
      <c r="K56" s="79"/>
      <c r="L56" s="79"/>
      <c r="M56" s="79"/>
      <c r="N56" s="34"/>
    </row>
    <row r="57" spans="1:25" ht="14" thickBot="1" x14ac:dyDescent="0.2">
      <c r="A57" s="11"/>
      <c r="B57" s="12"/>
      <c r="C57" s="12"/>
      <c r="D57" s="12"/>
      <c r="E57" s="12"/>
      <c r="F57" s="12"/>
      <c r="G57" s="12"/>
      <c r="H57" s="13"/>
      <c r="I57" s="79"/>
      <c r="J57" s="79"/>
      <c r="K57" s="79"/>
      <c r="L57" s="79"/>
      <c r="M57" s="79"/>
      <c r="N57" s="34"/>
    </row>
    <row r="58" spans="1:2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34"/>
      <c r="W58" s="243" t="s">
        <v>81</v>
      </c>
      <c r="X58" s="176">
        <f>F47-F45</f>
        <v>63312.807368368784</v>
      </c>
    </row>
    <row r="59" spans="1:25" ht="14" thickBot="1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34"/>
      <c r="W59" s="242">
        <f>X59*100</f>
        <v>63300</v>
      </c>
      <c r="X59" s="1">
        <f>IF(X58&gt;9999,ROUNDDOWN(X58/100,0),0)</f>
        <v>633</v>
      </c>
    </row>
    <row r="60" spans="1:25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R60" s="159" t="s">
        <v>51</v>
      </c>
      <c r="S60" s="195">
        <f>100000/S61</f>
        <v>7.0257611241217807E-2</v>
      </c>
      <c r="T60" s="28"/>
      <c r="U60" s="63"/>
      <c r="V60" s="92"/>
      <c r="W60" s="1">
        <f>X60*10</f>
        <v>0</v>
      </c>
      <c r="X60" s="1">
        <f>IF(X58&lt;10000,ROUNDDOWN(X58/10,0),0)</f>
        <v>0</v>
      </c>
    </row>
    <row r="61" spans="1:25" x14ac:dyDescent="0.1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  <c r="R61" s="159" t="s">
        <v>50</v>
      </c>
      <c r="S61" s="157">
        <f>D12/B7*1000</f>
        <v>1423333.3333333333</v>
      </c>
      <c r="W61" s="25">
        <f>SUM(W59:W60)</f>
        <v>63300</v>
      </c>
    </row>
    <row r="62" spans="1:25" x14ac:dyDescent="0.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R62" s="159" t="s">
        <v>52</v>
      </c>
      <c r="S62" s="194">
        <f>(S61*S60)+X62</f>
        <v>100000</v>
      </c>
      <c r="T62" s="113"/>
      <c r="U62" s="113"/>
      <c r="V62" s="113"/>
      <c r="W62" s="113"/>
      <c r="X62" s="113"/>
      <c r="Y62" s="113"/>
    </row>
    <row r="63" spans="1:25" x14ac:dyDescent="0.1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6"/>
      <c r="R63" s="159" t="s">
        <v>65</v>
      </c>
      <c r="S63" s="160">
        <f>SUM(X67+X85+X103+X121+X139+X157+X175+X193+X211+X229+X247+X265+X283+X301+X319+X337+X355+X373+X391+X409+X427+X445+X463+X481+X499+X517+X535+X553+X571+X589)</f>
        <v>122312.5232614073</v>
      </c>
      <c r="W63" s="175" t="s">
        <v>61</v>
      </c>
      <c r="X63" s="29">
        <f>D9-C19</f>
        <v>6685</v>
      </c>
    </row>
    <row r="64" spans="1:25" x14ac:dyDescent="0.1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R64" s="113"/>
      <c r="W64" s="175" t="s">
        <v>60</v>
      </c>
      <c r="X64" s="29">
        <f>ABS(PMT(C21/12,F21*12,X63))</f>
        <v>113.97260826511689</v>
      </c>
    </row>
    <row r="65" spans="1:25" x14ac:dyDescent="0.1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T65" s="34"/>
      <c r="U65" s="34"/>
      <c r="V65" s="34"/>
      <c r="W65" s="34"/>
      <c r="X65" s="34"/>
      <c r="Y65" s="34"/>
    </row>
    <row r="66" spans="1:25" ht="14" thickBot="1" x14ac:dyDescent="0.2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T66" s="34"/>
      <c r="U66" s="34"/>
      <c r="V66" s="34"/>
      <c r="W66" s="34"/>
      <c r="X66" s="65"/>
      <c r="Y66" s="65"/>
    </row>
    <row r="67" spans="1:25" ht="17" thickBot="1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R67" s="126" t="s">
        <v>48</v>
      </c>
      <c r="S67" s="153">
        <v>1</v>
      </c>
      <c r="T67" s="154" t="s">
        <v>66</v>
      </c>
      <c r="U67" s="143">
        <f>D12/12</f>
        <v>355.83333333333331</v>
      </c>
      <c r="V67" s="155" t="s">
        <v>68</v>
      </c>
      <c r="W67" s="19">
        <v>0</v>
      </c>
      <c r="X67" s="161">
        <f>IF(X82="",0,(U67*12-(U67*12)*$C$36)/POWER(1+0,S67))</f>
        <v>4257.1899999999996</v>
      </c>
    </row>
    <row r="68" spans="1:25" x14ac:dyDescent="0.1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  <c r="U68" s="182" t="s">
        <v>76</v>
      </c>
      <c r="V68" s="166">
        <f>IF(S67&lt;=$C$31,$C$29,IF(AND(S67&gt;$C$31,$B$34="Yes"),AVERAGE(U70:U81),$D$34))</f>
        <v>0.08</v>
      </c>
    </row>
    <row r="69" spans="1:25" x14ac:dyDescent="0.1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6"/>
      <c r="R69" s="122" t="s">
        <v>70</v>
      </c>
      <c r="S69" s="124">
        <f>$C$24</f>
        <v>0</v>
      </c>
      <c r="T69" s="125">
        <f>100%-$S$87</f>
        <v>1</v>
      </c>
      <c r="U69" s="112" t="s">
        <v>72</v>
      </c>
      <c r="V69" s="115" t="s">
        <v>71</v>
      </c>
      <c r="W69" s="115" t="s">
        <v>67</v>
      </c>
      <c r="X69" s="116" t="s">
        <v>69</v>
      </c>
    </row>
    <row r="70" spans="1:25" x14ac:dyDescent="0.1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6"/>
      <c r="R70" s="166">
        <v>1</v>
      </c>
      <c r="S70" s="1">
        <f>$U$67*$C$27</f>
        <v>142.33333333333334</v>
      </c>
      <c r="T70" s="167">
        <f>$U$67*(100%-$C$27)</f>
        <v>213.49999999999997</v>
      </c>
      <c r="U70" s="168">
        <f>$C$14*(1+$W$67)</f>
        <v>0.3</v>
      </c>
      <c r="V70" s="169">
        <f>S70*$V$68</f>
        <v>11.386666666666668</v>
      </c>
      <c r="W70" s="170">
        <f t="shared" ref="W70:W81" si="9">T70*U70</f>
        <v>64.049999999999983</v>
      </c>
      <c r="X70" s="170">
        <f t="shared" ref="X70:X81" si="10">W70+V70</f>
        <v>75.436666666666653</v>
      </c>
    </row>
    <row r="71" spans="1:25" x14ac:dyDescent="0.1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6"/>
      <c r="R71" s="166">
        <v>2</v>
      </c>
      <c r="S71" s="1">
        <f t="shared" ref="S71:S81" si="11">$U$67*$C$27</f>
        <v>142.33333333333334</v>
      </c>
      <c r="T71" s="167">
        <f t="shared" ref="T71:T81" si="12">$U$67*(100%-$C$27)</f>
        <v>213.49999999999997</v>
      </c>
      <c r="U71" s="168">
        <f t="shared" ref="U71:U81" si="13">$C$14*(1+$W$67)</f>
        <v>0.3</v>
      </c>
      <c r="V71" s="169">
        <f t="shared" ref="V71:V81" si="14">S71*$V$68</f>
        <v>11.386666666666668</v>
      </c>
      <c r="W71" s="170">
        <f t="shared" si="9"/>
        <v>64.049999999999983</v>
      </c>
      <c r="X71" s="170">
        <f t="shared" si="10"/>
        <v>75.436666666666653</v>
      </c>
    </row>
    <row r="72" spans="1:25" x14ac:dyDescent="0.1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6"/>
      <c r="R72" s="166">
        <v>3</v>
      </c>
      <c r="S72" s="1">
        <f t="shared" si="11"/>
        <v>142.33333333333334</v>
      </c>
      <c r="T72" s="167">
        <f t="shared" si="12"/>
        <v>213.49999999999997</v>
      </c>
      <c r="U72" s="168">
        <f t="shared" si="13"/>
        <v>0.3</v>
      </c>
      <c r="V72" s="169">
        <f t="shared" si="14"/>
        <v>11.386666666666668</v>
      </c>
      <c r="W72" s="170">
        <f t="shared" si="9"/>
        <v>64.049999999999983</v>
      </c>
      <c r="X72" s="170">
        <f t="shared" si="10"/>
        <v>75.436666666666653</v>
      </c>
    </row>
    <row r="73" spans="1:25" x14ac:dyDescent="0.1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6"/>
      <c r="R73" s="166">
        <v>4</v>
      </c>
      <c r="S73" s="1">
        <f t="shared" si="11"/>
        <v>142.33333333333334</v>
      </c>
      <c r="T73" s="167">
        <f t="shared" si="12"/>
        <v>213.49999999999997</v>
      </c>
      <c r="U73" s="168">
        <f t="shared" si="13"/>
        <v>0.3</v>
      </c>
      <c r="V73" s="169">
        <f t="shared" si="14"/>
        <v>11.386666666666668</v>
      </c>
      <c r="W73" s="170">
        <f t="shared" si="9"/>
        <v>64.049999999999983</v>
      </c>
      <c r="X73" s="170">
        <f t="shared" si="10"/>
        <v>75.436666666666653</v>
      </c>
    </row>
    <row r="74" spans="1:25" x14ac:dyDescent="0.1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6"/>
      <c r="R74" s="166">
        <v>5</v>
      </c>
      <c r="S74" s="1">
        <f t="shared" si="11"/>
        <v>142.33333333333334</v>
      </c>
      <c r="T74" s="167">
        <f t="shared" si="12"/>
        <v>213.49999999999997</v>
      </c>
      <c r="U74" s="168">
        <f t="shared" si="13"/>
        <v>0.3</v>
      </c>
      <c r="V74" s="169">
        <f t="shared" si="14"/>
        <v>11.386666666666668</v>
      </c>
      <c r="W74" s="170">
        <f t="shared" si="9"/>
        <v>64.049999999999983</v>
      </c>
      <c r="X74" s="170">
        <f t="shared" si="10"/>
        <v>75.436666666666653</v>
      </c>
    </row>
    <row r="75" spans="1:25" x14ac:dyDescent="0.1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6"/>
      <c r="R75" s="166">
        <v>6</v>
      </c>
      <c r="S75" s="1">
        <f t="shared" si="11"/>
        <v>142.33333333333334</v>
      </c>
      <c r="T75" s="167">
        <f t="shared" si="12"/>
        <v>213.49999999999997</v>
      </c>
      <c r="U75" s="168">
        <f t="shared" si="13"/>
        <v>0.3</v>
      </c>
      <c r="V75" s="169">
        <f t="shared" si="14"/>
        <v>11.386666666666668</v>
      </c>
      <c r="W75" s="170">
        <f t="shared" si="9"/>
        <v>64.049999999999983</v>
      </c>
      <c r="X75" s="170">
        <f t="shared" si="10"/>
        <v>75.436666666666653</v>
      </c>
    </row>
    <row r="76" spans="1:25" ht="14" thickBot="1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3"/>
      <c r="R76" s="166">
        <v>7</v>
      </c>
      <c r="S76" s="1">
        <f t="shared" si="11"/>
        <v>142.33333333333334</v>
      </c>
      <c r="T76" s="167">
        <f t="shared" si="12"/>
        <v>213.49999999999997</v>
      </c>
      <c r="U76" s="168">
        <f t="shared" si="13"/>
        <v>0.3</v>
      </c>
      <c r="V76" s="169">
        <f t="shared" si="14"/>
        <v>11.386666666666668</v>
      </c>
      <c r="W76" s="170">
        <f t="shared" si="9"/>
        <v>64.049999999999983</v>
      </c>
      <c r="X76" s="170">
        <f t="shared" si="10"/>
        <v>75.436666666666653</v>
      </c>
    </row>
    <row r="77" spans="1:25" x14ac:dyDescent="0.15">
      <c r="H77" s="2"/>
      <c r="R77" s="166">
        <v>8</v>
      </c>
      <c r="S77" s="1">
        <f t="shared" si="11"/>
        <v>142.33333333333334</v>
      </c>
      <c r="T77" s="167">
        <f t="shared" si="12"/>
        <v>213.49999999999997</v>
      </c>
      <c r="U77" s="168">
        <f t="shared" si="13"/>
        <v>0.3</v>
      </c>
      <c r="V77" s="169">
        <f t="shared" si="14"/>
        <v>11.386666666666668</v>
      </c>
      <c r="W77" s="170">
        <f t="shared" si="9"/>
        <v>64.049999999999983</v>
      </c>
      <c r="X77" s="170">
        <f t="shared" si="10"/>
        <v>75.436666666666653</v>
      </c>
    </row>
    <row r="78" spans="1:25" x14ac:dyDescent="0.15">
      <c r="H78" s="2"/>
      <c r="R78" s="166">
        <v>9</v>
      </c>
      <c r="S78" s="1">
        <f t="shared" si="11"/>
        <v>142.33333333333334</v>
      </c>
      <c r="T78" s="167">
        <f t="shared" si="12"/>
        <v>213.49999999999997</v>
      </c>
      <c r="U78" s="168">
        <f t="shared" si="13"/>
        <v>0.3</v>
      </c>
      <c r="V78" s="169">
        <f t="shared" si="14"/>
        <v>11.386666666666668</v>
      </c>
      <c r="W78" s="170">
        <f t="shared" si="9"/>
        <v>64.049999999999983</v>
      </c>
      <c r="X78" s="170">
        <f t="shared" si="10"/>
        <v>75.436666666666653</v>
      </c>
    </row>
    <row r="79" spans="1:25" x14ac:dyDescent="0.15">
      <c r="H79" s="2"/>
      <c r="R79" s="166">
        <v>10</v>
      </c>
      <c r="S79" s="1">
        <f t="shared" si="11"/>
        <v>142.33333333333334</v>
      </c>
      <c r="T79" s="167">
        <f t="shared" si="12"/>
        <v>213.49999999999997</v>
      </c>
      <c r="U79" s="168">
        <f t="shared" si="13"/>
        <v>0.3</v>
      </c>
      <c r="V79" s="169">
        <f t="shared" si="14"/>
        <v>11.386666666666668</v>
      </c>
      <c r="W79" s="170">
        <f t="shared" si="9"/>
        <v>64.049999999999983</v>
      </c>
      <c r="X79" s="170">
        <f t="shared" si="10"/>
        <v>75.436666666666653</v>
      </c>
    </row>
    <row r="80" spans="1:25" x14ac:dyDescent="0.15">
      <c r="R80" s="166">
        <v>11</v>
      </c>
      <c r="S80" s="1">
        <f t="shared" si="11"/>
        <v>142.33333333333334</v>
      </c>
      <c r="T80" s="167">
        <f t="shared" si="12"/>
        <v>213.49999999999997</v>
      </c>
      <c r="U80" s="168">
        <f t="shared" si="13"/>
        <v>0.3</v>
      </c>
      <c r="V80" s="169">
        <f t="shared" si="14"/>
        <v>11.386666666666668</v>
      </c>
      <c r="W80" s="170">
        <f t="shared" si="9"/>
        <v>64.049999999999983</v>
      </c>
      <c r="X80" s="170">
        <f t="shared" si="10"/>
        <v>75.436666666666653</v>
      </c>
    </row>
    <row r="81" spans="18:27" x14ac:dyDescent="0.15">
      <c r="R81" s="166">
        <v>12</v>
      </c>
      <c r="S81" s="1">
        <f t="shared" si="11"/>
        <v>142.33333333333334</v>
      </c>
      <c r="T81" s="167">
        <f t="shared" si="12"/>
        <v>213.49999999999997</v>
      </c>
      <c r="U81" s="168">
        <f t="shared" si="13"/>
        <v>0.3</v>
      </c>
      <c r="V81" s="169">
        <f t="shared" si="14"/>
        <v>11.386666666666668</v>
      </c>
      <c r="W81" s="170">
        <f t="shared" si="9"/>
        <v>64.049999999999983</v>
      </c>
      <c r="X81" s="170">
        <f t="shared" si="10"/>
        <v>75.436666666666653</v>
      </c>
    </row>
    <row r="82" spans="18:27" ht="16" x14ac:dyDescent="0.3">
      <c r="S82" s="118">
        <f>IF($C$17&gt;=S67,SUM(S70:S81),"")</f>
        <v>1707.9999999999998</v>
      </c>
      <c r="T82" s="119">
        <f>IF($C$17&gt;=S67,SUM(T70:T81),"")</f>
        <v>2561.9999999999995</v>
      </c>
      <c r="U82" s="112">
        <f>IF(Y83="",0,AVERAGE(U70:U81))</f>
        <v>0.29999999999999993</v>
      </c>
      <c r="V82" s="120">
        <f>IF($C$17&gt;=S67,SUM(V70:V81),"")</f>
        <v>136.64000000000001</v>
      </c>
      <c r="W82" s="121">
        <f>IF($C$17&gt;=S67,SUM(W70:W81),"")</f>
        <v>768.59999999999957</v>
      </c>
      <c r="X82" s="121">
        <f>IF($C$17&gt;=S67,SUM(X70:X81),"")</f>
        <v>905.23999999999967</v>
      </c>
    </row>
    <row r="83" spans="18:27" x14ac:dyDescent="0.15">
      <c r="S83" s="112"/>
      <c r="T83" s="112"/>
      <c r="U83" s="112"/>
      <c r="V83" s="112"/>
      <c r="W83" s="156" t="s">
        <v>53</v>
      </c>
      <c r="X83" s="117">
        <f>IF(AND($D$38="Yes",$D$40+1=S67,$C$17&gt;=S67),$B$40,0)</f>
        <v>0</v>
      </c>
      <c r="Y83" s="142">
        <f>IF(X82="","",IF($D$38="No",X82,IF($D$38="Yes",X82-X83,X82)))</f>
        <v>905.23999999999967</v>
      </c>
      <c r="AA83" s="164"/>
    </row>
    <row r="84" spans="18:27" ht="14" thickBot="1" x14ac:dyDescent="0.2"/>
    <row r="85" spans="18:27" ht="17" thickBot="1" x14ac:dyDescent="0.25">
      <c r="R85" s="126" t="s">
        <v>48</v>
      </c>
      <c r="S85" s="127">
        <v>2</v>
      </c>
      <c r="T85" s="154" t="s">
        <v>66</v>
      </c>
      <c r="U85" s="165">
        <f>U67-($C$36*U67)</f>
        <v>354.76583333333332</v>
      </c>
      <c r="V85" s="155" t="s">
        <v>68</v>
      </c>
      <c r="W85" s="185">
        <f>ROUND($C$25/12,15)</f>
        <v>5.8333333333329997E-3</v>
      </c>
      <c r="X85" s="161">
        <f>IF(X100="",0,(U85*12-(U85*12)*$C$36)/POWER(1+0,S85))</f>
        <v>4244.4184299999997</v>
      </c>
      <c r="Y85" s="162"/>
    </row>
    <row r="86" spans="18:27" x14ac:dyDescent="0.15">
      <c r="U86" s="182" t="s">
        <v>76</v>
      </c>
      <c r="V86" s="166">
        <f>IF(S85&lt;=$C$31,$C$29,IF(AND(S85&gt;$C$31,$B$34="Yes"),AVERAGE(U88:U99),$D$34))</f>
        <v>0.08</v>
      </c>
    </row>
    <row r="87" spans="18:27" x14ac:dyDescent="0.15">
      <c r="R87" s="122" t="s">
        <v>70</v>
      </c>
      <c r="S87" s="124">
        <f>$C$24</f>
        <v>0</v>
      </c>
      <c r="T87" s="125">
        <f>100%-$S$87</f>
        <v>1</v>
      </c>
      <c r="U87" s="112" t="s">
        <v>72</v>
      </c>
      <c r="V87" s="115" t="s">
        <v>71</v>
      </c>
      <c r="W87" s="115" t="s">
        <v>67</v>
      </c>
      <c r="X87" s="116" t="s">
        <v>69</v>
      </c>
      <c r="Y87" s="90"/>
    </row>
    <row r="88" spans="18:27" x14ac:dyDescent="0.15">
      <c r="R88" s="209">
        <v>1</v>
      </c>
      <c r="S88" s="172">
        <f>$U$85*$C$27</f>
        <v>141.90633333333332</v>
      </c>
      <c r="T88" s="187">
        <f>($U$85*(100%-$C$27))</f>
        <v>212.8595</v>
      </c>
      <c r="U88" s="188">
        <f>(C14*(1+W85))</f>
        <v>0.30174999999999985</v>
      </c>
      <c r="V88" s="210">
        <f>S88*$V$68</f>
        <v>11.352506666666667</v>
      </c>
      <c r="W88" s="186">
        <f>T88*U88</f>
        <v>64.230354124999963</v>
      </c>
      <c r="X88" s="170">
        <f>W88+V88</f>
        <v>75.582860791666633</v>
      </c>
      <c r="Y88" s="34"/>
    </row>
    <row r="89" spans="18:27" x14ac:dyDescent="0.15">
      <c r="R89" s="209">
        <v>2</v>
      </c>
      <c r="S89" s="172">
        <f t="shared" ref="S89:S99" si="15">$U$85*$C$27</f>
        <v>141.90633333333332</v>
      </c>
      <c r="T89" s="187">
        <f t="shared" ref="T89:T99" si="16">($U$85*(100%-$C$27))</f>
        <v>212.8595</v>
      </c>
      <c r="U89" s="188">
        <f>(U88*(1+$W$85))</f>
        <v>0.30351020833333303</v>
      </c>
      <c r="V89" s="210">
        <f t="shared" ref="V89:V99" si="17">S89*$V$68</f>
        <v>11.352506666666667</v>
      </c>
      <c r="W89" s="186">
        <f>T89*U89</f>
        <v>64.605031190729107</v>
      </c>
      <c r="X89" s="170">
        <f>W89+V89</f>
        <v>75.957537857395778</v>
      </c>
      <c r="Y89" s="34"/>
    </row>
    <row r="90" spans="18:27" x14ac:dyDescent="0.15">
      <c r="R90" s="209">
        <v>3</v>
      </c>
      <c r="S90" s="172">
        <f t="shared" si="15"/>
        <v>141.90633333333332</v>
      </c>
      <c r="T90" s="187">
        <f t="shared" si="16"/>
        <v>212.8595</v>
      </c>
      <c r="U90" s="188">
        <f t="shared" ref="U90:U99" si="18">(U89*(1+$W$85))</f>
        <v>0.30528068454861068</v>
      </c>
      <c r="V90" s="210">
        <f t="shared" si="17"/>
        <v>11.352506666666667</v>
      </c>
      <c r="W90" s="186">
        <f>T90*U90</f>
        <v>64.981893872674988</v>
      </c>
      <c r="X90" s="170">
        <f>W90+V90</f>
        <v>76.334400539341658</v>
      </c>
      <c r="Y90" s="34"/>
    </row>
    <row r="91" spans="18:27" x14ac:dyDescent="0.15">
      <c r="R91" s="209">
        <v>4</v>
      </c>
      <c r="S91" s="172">
        <f t="shared" si="15"/>
        <v>141.90633333333332</v>
      </c>
      <c r="T91" s="187">
        <f t="shared" si="16"/>
        <v>212.8595</v>
      </c>
      <c r="U91" s="188">
        <f t="shared" si="18"/>
        <v>0.30706148854181076</v>
      </c>
      <c r="V91" s="210">
        <f t="shared" si="17"/>
        <v>11.352506666666667</v>
      </c>
      <c r="W91" s="186">
        <f t="shared" ref="W91:W99" si="19">T91*U91</f>
        <v>65.36095492026557</v>
      </c>
      <c r="X91" s="170">
        <f t="shared" ref="X91:X99" si="20">W91+V91</f>
        <v>76.71346158693224</v>
      </c>
      <c r="Y91" s="34"/>
    </row>
    <row r="92" spans="18:27" x14ac:dyDescent="0.15">
      <c r="R92" s="209">
        <v>5</v>
      </c>
      <c r="S92" s="172">
        <f t="shared" si="15"/>
        <v>141.90633333333332</v>
      </c>
      <c r="T92" s="187">
        <f t="shared" si="16"/>
        <v>212.8595</v>
      </c>
      <c r="U92" s="188">
        <f t="shared" si="18"/>
        <v>0.3088526805583045</v>
      </c>
      <c r="V92" s="210">
        <f t="shared" si="17"/>
        <v>11.352506666666667</v>
      </c>
      <c r="W92" s="186">
        <f t="shared" si="19"/>
        <v>65.74222715730042</v>
      </c>
      <c r="X92" s="170">
        <f t="shared" si="20"/>
        <v>77.09473382396709</v>
      </c>
      <c r="Y92" s="34"/>
    </row>
    <row r="93" spans="18:27" x14ac:dyDescent="0.15">
      <c r="R93" s="209">
        <v>6</v>
      </c>
      <c r="S93" s="172">
        <f t="shared" si="15"/>
        <v>141.90633333333332</v>
      </c>
      <c r="T93" s="187">
        <f t="shared" si="16"/>
        <v>212.8595</v>
      </c>
      <c r="U93" s="188">
        <f t="shared" si="18"/>
        <v>0.3106543211948945</v>
      </c>
      <c r="V93" s="210">
        <f t="shared" si="17"/>
        <v>11.352506666666667</v>
      </c>
      <c r="W93" s="186">
        <f t="shared" si="19"/>
        <v>66.125723482384643</v>
      </c>
      <c r="X93" s="170">
        <f t="shared" si="20"/>
        <v>77.478230149051313</v>
      </c>
      <c r="Y93" s="34"/>
    </row>
    <row r="94" spans="18:27" x14ac:dyDescent="0.15">
      <c r="R94" s="209">
        <v>7</v>
      </c>
      <c r="S94" s="172">
        <f t="shared" si="15"/>
        <v>141.90633333333332</v>
      </c>
      <c r="T94" s="187">
        <f t="shared" si="16"/>
        <v>212.8595</v>
      </c>
      <c r="U94" s="188">
        <f t="shared" si="18"/>
        <v>0.31246647140186457</v>
      </c>
      <c r="V94" s="210">
        <f t="shared" si="17"/>
        <v>11.352506666666667</v>
      </c>
      <c r="W94" s="186">
        <f t="shared" si="19"/>
        <v>66.51145686936519</v>
      </c>
      <c r="X94" s="170">
        <f t="shared" si="20"/>
        <v>77.863963536031861</v>
      </c>
      <c r="Y94" s="34"/>
    </row>
    <row r="95" spans="18:27" x14ac:dyDescent="0.15">
      <c r="R95" s="209">
        <v>8</v>
      </c>
      <c r="S95" s="172">
        <f t="shared" si="15"/>
        <v>141.90633333333332</v>
      </c>
      <c r="T95" s="187">
        <f t="shared" si="16"/>
        <v>212.8595</v>
      </c>
      <c r="U95" s="188">
        <f t="shared" si="18"/>
        <v>0.314289192485042</v>
      </c>
      <c r="V95" s="210">
        <f t="shared" si="17"/>
        <v>11.352506666666667</v>
      </c>
      <c r="W95" s="186">
        <f t="shared" si="19"/>
        <v>66.899440367769799</v>
      </c>
      <c r="X95" s="170">
        <f t="shared" si="20"/>
        <v>78.251947034436469</v>
      </c>
      <c r="Y95" s="34"/>
    </row>
    <row r="96" spans="18:27" x14ac:dyDescent="0.15">
      <c r="R96" s="209">
        <v>9</v>
      </c>
      <c r="S96" s="172">
        <f t="shared" si="15"/>
        <v>141.90633333333332</v>
      </c>
      <c r="T96" s="187">
        <f t="shared" si="16"/>
        <v>212.8595</v>
      </c>
      <c r="U96" s="188">
        <f t="shared" si="18"/>
        <v>0.31612254610787127</v>
      </c>
      <c r="V96" s="210">
        <f t="shared" si="17"/>
        <v>11.352506666666667</v>
      </c>
      <c r="W96" s="186">
        <f t="shared" si="19"/>
        <v>67.289687103248426</v>
      </c>
      <c r="X96" s="170">
        <f t="shared" si="20"/>
        <v>78.642193769915096</v>
      </c>
      <c r="Y96" s="34"/>
    </row>
    <row r="97" spans="18:25" x14ac:dyDescent="0.15">
      <c r="R97" s="209">
        <v>10</v>
      </c>
      <c r="S97" s="172">
        <f t="shared" si="15"/>
        <v>141.90633333333332</v>
      </c>
      <c r="T97" s="187">
        <f t="shared" si="16"/>
        <v>212.8595</v>
      </c>
      <c r="U97" s="188">
        <f t="shared" si="18"/>
        <v>0.31796659429350038</v>
      </c>
      <c r="V97" s="210">
        <f t="shared" si="17"/>
        <v>11.352506666666667</v>
      </c>
      <c r="W97" s="186">
        <f t="shared" si="19"/>
        <v>67.682210278017337</v>
      </c>
      <c r="X97" s="170">
        <f t="shared" si="20"/>
        <v>79.034716944684007</v>
      </c>
      <c r="Y97" s="34"/>
    </row>
    <row r="98" spans="18:25" x14ac:dyDescent="0.15">
      <c r="R98" s="209">
        <v>11</v>
      </c>
      <c r="S98" s="172">
        <f t="shared" si="15"/>
        <v>141.90633333333332</v>
      </c>
      <c r="T98" s="187">
        <f t="shared" si="16"/>
        <v>212.8595</v>
      </c>
      <c r="U98" s="188">
        <f t="shared" si="18"/>
        <v>0.31982139942687898</v>
      </c>
      <c r="V98" s="210">
        <f t="shared" si="17"/>
        <v>11.352506666666667</v>
      </c>
      <c r="W98" s="186">
        <f t="shared" si="19"/>
        <v>68.07702317130574</v>
      </c>
      <c r="X98" s="170">
        <f t="shared" si="20"/>
        <v>79.42952983797241</v>
      </c>
      <c r="Y98" s="34"/>
    </row>
    <row r="99" spans="18:25" x14ac:dyDescent="0.15">
      <c r="R99" s="209">
        <v>12</v>
      </c>
      <c r="S99" s="172">
        <f t="shared" si="15"/>
        <v>141.90633333333332</v>
      </c>
      <c r="T99" s="187">
        <f t="shared" si="16"/>
        <v>212.8595</v>
      </c>
      <c r="U99" s="188">
        <f t="shared" si="18"/>
        <v>0.32168702425686896</v>
      </c>
      <c r="V99" s="210">
        <f t="shared" si="17"/>
        <v>11.352506666666667</v>
      </c>
      <c r="W99" s="186">
        <f t="shared" si="19"/>
        <v>68.474139139805004</v>
      </c>
      <c r="X99" s="170">
        <f t="shared" si="20"/>
        <v>79.826645806471674</v>
      </c>
      <c r="Y99" s="34"/>
    </row>
    <row r="100" spans="18:25" ht="16" x14ac:dyDescent="0.3">
      <c r="S100" s="118">
        <f>IF($C$17&gt;=S85,SUM(S88:S99),"")</f>
        <v>1702.876</v>
      </c>
      <c r="T100" s="119">
        <f>IF($C$17&gt;=S85,SUM(T88:T99),"")</f>
        <v>2554.3139999999999</v>
      </c>
      <c r="U100" s="163">
        <f>IF(Y101="",0,AVERAGE(U88:U99))</f>
        <v>0.31162188426241494</v>
      </c>
      <c r="V100" s="120">
        <f>IF($C$17&gt;=S85,SUM(V88:V99),"")</f>
        <v>136.23008000000002</v>
      </c>
      <c r="W100" s="121">
        <f>IF($C$17&gt;=S85,SUM(W88:W99),"")</f>
        <v>795.98014167786619</v>
      </c>
      <c r="X100" s="121">
        <f>IF($C$17&gt;=S85,SUM(X88:X99),"")</f>
        <v>932.21022167786623</v>
      </c>
    </row>
    <row r="101" spans="18:25" x14ac:dyDescent="0.15">
      <c r="S101" s="112"/>
      <c r="T101" s="112"/>
      <c r="U101" s="112"/>
      <c r="V101" s="112"/>
      <c r="W101" s="156" t="s">
        <v>53</v>
      </c>
      <c r="X101" s="117">
        <f>IF(AND($D$38="Yes",$D$40+1=S85,$C$17&gt;=S85),$B$40,0)</f>
        <v>0</v>
      </c>
      <c r="Y101" s="142">
        <f>IF(X100="","",IF($D$38="No",X100,IF($D$38="Yes",X100-X101,X100)))</f>
        <v>932.21022167786623</v>
      </c>
    </row>
    <row r="102" spans="18:25" ht="14" thickBot="1" x14ac:dyDescent="0.2">
      <c r="S102" s="112"/>
      <c r="T102" s="112"/>
      <c r="U102" s="112"/>
      <c r="V102" s="112"/>
      <c r="W102" s="34"/>
      <c r="X102" s="34"/>
      <c r="Y102" s="34"/>
    </row>
    <row r="103" spans="18:25" ht="17" thickBot="1" x14ac:dyDescent="0.25">
      <c r="R103" s="126" t="s">
        <v>48</v>
      </c>
      <c r="S103" s="127">
        <v>3</v>
      </c>
      <c r="T103" s="154" t="s">
        <v>66</v>
      </c>
      <c r="U103" s="143">
        <f>U85-($C$36*U85)</f>
        <v>353.70153583333331</v>
      </c>
      <c r="V103" s="155" t="s">
        <v>68</v>
      </c>
      <c r="W103" s="19">
        <f>ROUND($C$25/12,15)</f>
        <v>5.8333333333329997E-3</v>
      </c>
      <c r="X103" s="161">
        <f>IF(X118="",0,(U103*12-(U103*12)*$C$36)/POWER(1+0,S103))</f>
        <v>4231.68517471</v>
      </c>
      <c r="Y103" s="34"/>
    </row>
    <row r="104" spans="18:25" x14ac:dyDescent="0.15">
      <c r="U104" s="182" t="s">
        <v>76</v>
      </c>
      <c r="V104" s="166">
        <f>IF(S103&lt;=$C$31,$C$29,IF(AND(S103&gt;$C$31,$B$34="Yes"),AVERAGE(U106:U117),$D$34))</f>
        <v>0.08</v>
      </c>
      <c r="Y104" s="34"/>
    </row>
    <row r="105" spans="18:25" x14ac:dyDescent="0.15">
      <c r="R105" s="122" t="s">
        <v>70</v>
      </c>
      <c r="S105" s="124">
        <f>$C$24</f>
        <v>0</v>
      </c>
      <c r="T105" s="125">
        <f>100%-$S$87</f>
        <v>1</v>
      </c>
      <c r="U105" s="112" t="s">
        <v>72</v>
      </c>
      <c r="V105" s="115" t="s">
        <v>71</v>
      </c>
      <c r="W105" s="115" t="s">
        <v>67</v>
      </c>
      <c r="X105" s="116" t="s">
        <v>69</v>
      </c>
      <c r="Y105" s="34"/>
    </row>
    <row r="106" spans="18:25" x14ac:dyDescent="0.15">
      <c r="R106" s="166">
        <v>1</v>
      </c>
      <c r="S106" s="1">
        <f>$U$103*$C$27</f>
        <v>141.48061433333334</v>
      </c>
      <c r="T106" s="167">
        <f>$U$103*(100%-$C$27)</f>
        <v>212.22092149999997</v>
      </c>
      <c r="U106" s="168">
        <f>(U99*(1+$W$103))</f>
        <v>0.32356353189836723</v>
      </c>
      <c r="V106" s="169">
        <f>S106*$V$68</f>
        <v>11.318449146666667</v>
      </c>
      <c r="W106" s="170">
        <f t="shared" ref="W106:W117" si="21">T106*U106</f>
        <v>68.666950903266127</v>
      </c>
      <c r="X106" s="170">
        <f t="shared" ref="X106:X117" si="22">W106+V106</f>
        <v>79.985400049932792</v>
      </c>
      <c r="Y106" s="34"/>
    </row>
    <row r="107" spans="18:25" x14ac:dyDescent="0.15">
      <c r="R107" s="166">
        <v>2</v>
      </c>
      <c r="S107" s="1">
        <f t="shared" ref="S107:S117" si="23">$U$103*$C$27</f>
        <v>141.48061433333334</v>
      </c>
      <c r="T107" s="167">
        <f t="shared" ref="T107:T117" si="24">$U$103*(100%-$C$27)</f>
        <v>212.22092149999997</v>
      </c>
      <c r="U107" s="168">
        <f>(U106*(1+$W$103))</f>
        <v>0.32545098583444088</v>
      </c>
      <c r="V107" s="169">
        <f t="shared" ref="V107:V117" si="25">S107*$V$68</f>
        <v>11.318449146666667</v>
      </c>
      <c r="W107" s="170">
        <f t="shared" si="21"/>
        <v>69.067508116868481</v>
      </c>
      <c r="X107" s="170">
        <f>W107+V107</f>
        <v>80.385957263535147</v>
      </c>
      <c r="Y107" s="34"/>
    </row>
    <row r="108" spans="18:25" x14ac:dyDescent="0.15">
      <c r="R108" s="166">
        <v>3</v>
      </c>
      <c r="S108" s="1">
        <f t="shared" si="23"/>
        <v>141.48061433333334</v>
      </c>
      <c r="T108" s="167">
        <f t="shared" si="24"/>
        <v>212.22092149999997</v>
      </c>
      <c r="U108" s="168">
        <f t="shared" ref="U108:U117" si="26">(U107*(1+$W$103))</f>
        <v>0.32734944991847498</v>
      </c>
      <c r="V108" s="169">
        <f t="shared" si="25"/>
        <v>11.318449146666667</v>
      </c>
      <c r="W108" s="170">
        <f t="shared" si="21"/>
        <v>69.470401914216851</v>
      </c>
      <c r="X108" s="170">
        <f t="shared" si="22"/>
        <v>80.788851060883516</v>
      </c>
      <c r="Y108" s="34"/>
    </row>
    <row r="109" spans="18:25" x14ac:dyDescent="0.15">
      <c r="R109" s="166">
        <v>4</v>
      </c>
      <c r="S109" s="1">
        <f t="shared" si="23"/>
        <v>141.48061433333334</v>
      </c>
      <c r="T109" s="167">
        <f t="shared" si="24"/>
        <v>212.22092149999997</v>
      </c>
      <c r="U109" s="168">
        <f t="shared" si="26"/>
        <v>0.32925898837633261</v>
      </c>
      <c r="V109" s="169">
        <f t="shared" si="25"/>
        <v>11.318449146666667</v>
      </c>
      <c r="W109" s="170">
        <f t="shared" si="21"/>
        <v>69.875645925383083</v>
      </c>
      <c r="X109" s="170">
        <f t="shared" si="22"/>
        <v>81.194095072049748</v>
      </c>
      <c r="Y109" s="34"/>
    </row>
    <row r="110" spans="18:25" x14ac:dyDescent="0.15">
      <c r="R110" s="166">
        <v>5</v>
      </c>
      <c r="S110" s="1">
        <f t="shared" si="23"/>
        <v>141.48061433333334</v>
      </c>
      <c r="T110" s="167">
        <f t="shared" si="24"/>
        <v>212.22092149999997</v>
      </c>
      <c r="U110" s="168">
        <f t="shared" si="26"/>
        <v>0.33117966580852776</v>
      </c>
      <c r="V110" s="169">
        <f t="shared" si="25"/>
        <v>11.318449146666667</v>
      </c>
      <c r="W110" s="170">
        <f t="shared" si="21"/>
        <v>70.283253859947791</v>
      </c>
      <c r="X110" s="170">
        <f t="shared" si="22"/>
        <v>81.601703006614457</v>
      </c>
      <c r="Y110" s="34"/>
    </row>
    <row r="111" spans="18:25" x14ac:dyDescent="0.15">
      <c r="R111" s="166">
        <v>6</v>
      </c>
      <c r="S111" s="1">
        <f t="shared" si="23"/>
        <v>141.48061433333334</v>
      </c>
      <c r="T111" s="167">
        <f t="shared" si="24"/>
        <v>212.22092149999997</v>
      </c>
      <c r="U111" s="168">
        <f t="shared" si="26"/>
        <v>0.33311154719241071</v>
      </c>
      <c r="V111" s="169">
        <f t="shared" si="25"/>
        <v>11.318449146666667</v>
      </c>
      <c r="W111" s="170">
        <f t="shared" si="21"/>
        <v>70.693239507464128</v>
      </c>
      <c r="X111" s="170">
        <f t="shared" si="22"/>
        <v>82.011688654130793</v>
      </c>
      <c r="Y111" s="34"/>
    </row>
    <row r="112" spans="18:25" x14ac:dyDescent="0.15">
      <c r="R112" s="166">
        <v>7</v>
      </c>
      <c r="S112" s="1">
        <f t="shared" si="23"/>
        <v>141.48061433333334</v>
      </c>
      <c r="T112" s="167">
        <f t="shared" si="24"/>
        <v>212.22092149999997</v>
      </c>
      <c r="U112" s="168">
        <f t="shared" si="26"/>
        <v>0.33505469788436631</v>
      </c>
      <c r="V112" s="169">
        <f t="shared" si="25"/>
        <v>11.318449146666667</v>
      </c>
      <c r="W112" s="170">
        <f t="shared" si="21"/>
        <v>71.105616737924308</v>
      </c>
      <c r="X112" s="170">
        <f t="shared" si="22"/>
        <v>82.424065884590973</v>
      </c>
      <c r="Y112" s="34"/>
    </row>
    <row r="113" spans="18:25" x14ac:dyDescent="0.15">
      <c r="R113" s="166">
        <v>8</v>
      </c>
      <c r="S113" s="1">
        <f t="shared" si="23"/>
        <v>141.48061433333334</v>
      </c>
      <c r="T113" s="167">
        <f t="shared" si="24"/>
        <v>212.22092149999997</v>
      </c>
      <c r="U113" s="168">
        <f t="shared" si="26"/>
        <v>0.33700918362202498</v>
      </c>
      <c r="V113" s="169">
        <f t="shared" si="25"/>
        <v>11.318449146666667</v>
      </c>
      <c r="W113" s="170">
        <f t="shared" si="21"/>
        <v>71.520399502228841</v>
      </c>
      <c r="X113" s="170">
        <f t="shared" si="22"/>
        <v>82.838848648895507</v>
      </c>
      <c r="Y113" s="34"/>
    </row>
    <row r="114" spans="18:25" x14ac:dyDescent="0.15">
      <c r="R114" s="166">
        <v>9</v>
      </c>
      <c r="S114" s="1">
        <f t="shared" si="23"/>
        <v>141.48061433333334</v>
      </c>
      <c r="T114" s="167">
        <f t="shared" si="24"/>
        <v>212.22092149999997</v>
      </c>
      <c r="U114" s="168">
        <f t="shared" si="26"/>
        <v>0.33897507052648662</v>
      </c>
      <c r="V114" s="169">
        <f t="shared" si="25"/>
        <v>11.318449146666667</v>
      </c>
      <c r="W114" s="170">
        <f t="shared" si="21"/>
        <v>71.937601832658473</v>
      </c>
      <c r="X114" s="170">
        <f t="shared" si="22"/>
        <v>83.256050979325138</v>
      </c>
      <c r="Y114" s="34"/>
    </row>
    <row r="115" spans="18:25" x14ac:dyDescent="0.15">
      <c r="R115" s="166">
        <v>10</v>
      </c>
      <c r="S115" s="1">
        <f t="shared" si="23"/>
        <v>141.48061433333334</v>
      </c>
      <c r="T115" s="167">
        <f t="shared" si="24"/>
        <v>212.22092149999997</v>
      </c>
      <c r="U115" s="168">
        <f t="shared" si="26"/>
        <v>0.34095242510455764</v>
      </c>
      <c r="V115" s="169">
        <f t="shared" si="25"/>
        <v>11.318449146666667</v>
      </c>
      <c r="W115" s="170">
        <f t="shared" si="21"/>
        <v>72.357237843348955</v>
      </c>
      <c r="X115" s="170">
        <f t="shared" si="22"/>
        <v>83.67568699001562</v>
      </c>
      <c r="Y115" s="34"/>
    </row>
    <row r="116" spans="18:25" x14ac:dyDescent="0.15">
      <c r="R116" s="166">
        <v>11</v>
      </c>
      <c r="S116" s="1">
        <f t="shared" si="23"/>
        <v>141.48061433333334</v>
      </c>
      <c r="T116" s="167">
        <f t="shared" si="24"/>
        <v>212.22092149999997</v>
      </c>
      <c r="U116" s="168">
        <f t="shared" si="26"/>
        <v>0.34294131425100077</v>
      </c>
      <c r="V116" s="169">
        <f t="shared" si="25"/>
        <v>11.318449146666667</v>
      </c>
      <c r="W116" s="170">
        <f t="shared" si="21"/>
        <v>72.779321730768459</v>
      </c>
      <c r="X116" s="170">
        <f t="shared" si="22"/>
        <v>84.097770877435124</v>
      </c>
      <c r="Y116" s="34"/>
    </row>
    <row r="117" spans="18:25" x14ac:dyDescent="0.15">
      <c r="R117" s="166">
        <v>12</v>
      </c>
      <c r="S117" s="1">
        <f t="shared" si="23"/>
        <v>141.48061433333334</v>
      </c>
      <c r="T117" s="167">
        <f t="shared" si="24"/>
        <v>212.22092149999997</v>
      </c>
      <c r="U117" s="168">
        <f t="shared" si="26"/>
        <v>0.34494180525079815</v>
      </c>
      <c r="V117" s="169">
        <f t="shared" si="25"/>
        <v>11.318449146666667</v>
      </c>
      <c r="W117" s="170">
        <f t="shared" si="21"/>
        <v>73.203867774197917</v>
      </c>
      <c r="X117" s="170">
        <f t="shared" si="22"/>
        <v>84.522316920864583</v>
      </c>
      <c r="Y117" s="34"/>
    </row>
    <row r="118" spans="18:25" ht="16" x14ac:dyDescent="0.3">
      <c r="S118" s="118">
        <f>IF($C$17&gt;=S103,SUM(S106:S117),"")</f>
        <v>1697.7673719999996</v>
      </c>
      <c r="T118" s="119">
        <f>IF($C$17&gt;=S103,SUM(T106:T117),"")</f>
        <v>2546.6510579999995</v>
      </c>
      <c r="U118" s="163">
        <f>IF(Y119="",0,AVERAGE(U106:U117))</f>
        <v>0.33414905547231571</v>
      </c>
      <c r="V118" s="120">
        <f>IF($C$17&gt;=S103,SUM(V106:V117),"")</f>
        <v>135.82138976000002</v>
      </c>
      <c r="W118" s="121">
        <f>IF($C$17&gt;=S103,SUM(W106:W117),"")</f>
        <v>850.9610456482734</v>
      </c>
      <c r="X118" s="121">
        <f>IF($C$17&gt;=S103,SUM(X106:X117),"")</f>
        <v>986.78243540827327</v>
      </c>
      <c r="Y118" s="34"/>
    </row>
    <row r="119" spans="18:25" x14ac:dyDescent="0.15">
      <c r="W119" s="156" t="s">
        <v>53</v>
      </c>
      <c r="X119" s="117">
        <f>IF(AND($D$38="Yes",$D$40+1=S103,$C$17&gt;=S103),$B$40,0)</f>
        <v>0</v>
      </c>
      <c r="Y119" s="142">
        <f>IF(X118="","",IF($D$38="No",X118,IF($D$38="Yes",X118-X119,X118)))</f>
        <v>986.78243540827327</v>
      </c>
    </row>
    <row r="120" spans="18:25" ht="14" thickBot="1" x14ac:dyDescent="0.2"/>
    <row r="121" spans="18:25" ht="17" thickBot="1" x14ac:dyDescent="0.25">
      <c r="R121" s="126" t="s">
        <v>48</v>
      </c>
      <c r="S121" s="127">
        <v>4</v>
      </c>
      <c r="T121" s="154" t="s">
        <v>66</v>
      </c>
      <c r="U121" s="143">
        <f>U103-($C$36*U103)</f>
        <v>352.64043122583331</v>
      </c>
      <c r="V121" s="155" t="s">
        <v>68</v>
      </c>
      <c r="W121" s="19">
        <f>ROUND($C$25/12,15)</f>
        <v>5.8333333333329997E-3</v>
      </c>
      <c r="X121" s="161">
        <f>IF(X136="",0,(U121*12-(U121*12)*$C$36)/POWER(1+0,S121))</f>
        <v>4218.9901191858698</v>
      </c>
    </row>
    <row r="122" spans="18:25" x14ac:dyDescent="0.15">
      <c r="U122" s="182" t="s">
        <v>76</v>
      </c>
      <c r="V122" s="166">
        <f>IF(S121&lt;=$C$31,$C$29,IF(AND(S121&gt;$C$31,$B$34="Yes"),AVERAGE(U124:U135),$D$34))</f>
        <v>0.08</v>
      </c>
    </row>
    <row r="123" spans="18:25" x14ac:dyDescent="0.15">
      <c r="R123" s="122" t="s">
        <v>70</v>
      </c>
      <c r="S123" s="124">
        <f>$C$24</f>
        <v>0</v>
      </c>
      <c r="T123" s="125">
        <f>100%-$S$87</f>
        <v>1</v>
      </c>
      <c r="U123" s="112" t="s">
        <v>72</v>
      </c>
      <c r="V123" s="115" t="s">
        <v>71</v>
      </c>
      <c r="W123" s="115" t="s">
        <v>67</v>
      </c>
      <c r="X123" s="116" t="s">
        <v>69</v>
      </c>
    </row>
    <row r="124" spans="18:25" x14ac:dyDescent="0.15">
      <c r="R124" s="166">
        <v>1</v>
      </c>
      <c r="S124" s="1">
        <f>$U$121*$C$27</f>
        <v>141.05617249033332</v>
      </c>
      <c r="T124" s="167">
        <f>$U$121*(100%-$C$27)</f>
        <v>211.58425873549999</v>
      </c>
      <c r="U124" s="168">
        <f>U117*(1+$W$103)</f>
        <v>0.34695396578142768</v>
      </c>
      <c r="V124" s="169">
        <f>S124*$V$68</f>
        <v>11.284493799226667</v>
      </c>
      <c r="W124" s="170">
        <f t="shared" ref="W124:W135" si="27">T124*U124</f>
        <v>73.409997665205395</v>
      </c>
      <c r="X124" s="170">
        <f t="shared" ref="X124:X135" si="28">W124+V124</f>
        <v>84.694491464432062</v>
      </c>
    </row>
    <row r="125" spans="18:25" x14ac:dyDescent="0.15">
      <c r="R125" s="166">
        <v>2</v>
      </c>
      <c r="S125" s="1">
        <f t="shared" ref="S125:S135" si="29">$U$121*$C$27</f>
        <v>141.05617249033332</v>
      </c>
      <c r="T125" s="167">
        <f t="shared" ref="T125:T135" si="30">$U$121*(100%-$C$27)</f>
        <v>211.58425873549999</v>
      </c>
      <c r="U125" s="168">
        <f t="shared" ref="U125:U135" si="31">U124*(1+$W$121)</f>
        <v>0.34897786391515251</v>
      </c>
      <c r="V125" s="169">
        <f t="shared" ref="V125:V135" si="32">S125*$V$68</f>
        <v>11.284493799226667</v>
      </c>
      <c r="W125" s="170">
        <f t="shared" si="27"/>
        <v>73.838222651585738</v>
      </c>
      <c r="X125" s="170">
        <f t="shared" si="28"/>
        <v>85.122716450812405</v>
      </c>
    </row>
    <row r="126" spans="18:25" x14ac:dyDescent="0.15">
      <c r="R126" s="166">
        <v>3</v>
      </c>
      <c r="S126" s="1">
        <f t="shared" si="29"/>
        <v>141.05617249033332</v>
      </c>
      <c r="T126" s="167">
        <f t="shared" si="30"/>
        <v>211.58425873549999</v>
      </c>
      <c r="U126" s="168">
        <f t="shared" si="31"/>
        <v>0.35101356812132406</v>
      </c>
      <c r="V126" s="169">
        <f t="shared" si="32"/>
        <v>11.284493799226667</v>
      </c>
      <c r="W126" s="170">
        <f t="shared" si="27"/>
        <v>74.268945617053276</v>
      </c>
      <c r="X126" s="170">
        <f t="shared" si="28"/>
        <v>85.553439416279943</v>
      </c>
    </row>
    <row r="127" spans="18:25" x14ac:dyDescent="0.15">
      <c r="R127" s="166">
        <v>4</v>
      </c>
      <c r="S127" s="1">
        <f t="shared" si="29"/>
        <v>141.05617249033332</v>
      </c>
      <c r="T127" s="167">
        <f t="shared" si="30"/>
        <v>211.58425873549999</v>
      </c>
      <c r="U127" s="168">
        <f t="shared" si="31"/>
        <v>0.35306114726869831</v>
      </c>
      <c r="V127" s="169">
        <f t="shared" si="32"/>
        <v>11.284493799226667</v>
      </c>
      <c r="W127" s="170">
        <f t="shared" si="27"/>
        <v>74.70218113315272</v>
      </c>
      <c r="X127" s="170">
        <f t="shared" si="28"/>
        <v>85.986674932379387</v>
      </c>
    </row>
    <row r="128" spans="18:25" x14ac:dyDescent="0.15">
      <c r="R128" s="166">
        <v>5</v>
      </c>
      <c r="S128" s="1">
        <f t="shared" si="29"/>
        <v>141.05617249033332</v>
      </c>
      <c r="T128" s="167">
        <f t="shared" si="30"/>
        <v>211.58425873549999</v>
      </c>
      <c r="U128" s="168">
        <f t="shared" si="31"/>
        <v>0.35512067062776559</v>
      </c>
      <c r="V128" s="169">
        <f t="shared" si="32"/>
        <v>11.284493799226667</v>
      </c>
      <c r="W128" s="170">
        <f t="shared" si="27"/>
        <v>75.13794385642943</v>
      </c>
      <c r="X128" s="170">
        <f t="shared" si="28"/>
        <v>86.422437655656097</v>
      </c>
    </row>
    <row r="129" spans="18:25" x14ac:dyDescent="0.15">
      <c r="R129" s="166">
        <v>6</v>
      </c>
      <c r="S129" s="1">
        <f t="shared" si="29"/>
        <v>141.05617249033332</v>
      </c>
      <c r="T129" s="167">
        <f t="shared" si="30"/>
        <v>211.58425873549999</v>
      </c>
      <c r="U129" s="168">
        <f t="shared" si="31"/>
        <v>0.35719220787309408</v>
      </c>
      <c r="V129" s="169">
        <f t="shared" si="32"/>
        <v>11.284493799226667</v>
      </c>
      <c r="W129" s="170">
        <f t="shared" si="27"/>
        <v>75.576248528925234</v>
      </c>
      <c r="X129" s="170">
        <f t="shared" si="28"/>
        <v>86.8607423281519</v>
      </c>
    </row>
    <row r="130" spans="18:25" x14ac:dyDescent="0.15">
      <c r="R130" s="166">
        <v>7</v>
      </c>
      <c r="S130" s="1">
        <f t="shared" si="29"/>
        <v>141.05617249033332</v>
      </c>
      <c r="T130" s="167">
        <f t="shared" si="30"/>
        <v>211.58425873549999</v>
      </c>
      <c r="U130" s="168">
        <f t="shared" si="31"/>
        <v>0.359275829085687</v>
      </c>
      <c r="V130" s="169">
        <f t="shared" si="32"/>
        <v>11.284493799226667</v>
      </c>
      <c r="W130" s="170">
        <f t="shared" si="27"/>
        <v>76.017109978677269</v>
      </c>
      <c r="X130" s="170">
        <f t="shared" si="28"/>
        <v>87.301603777903935</v>
      </c>
    </row>
    <row r="131" spans="18:25" x14ac:dyDescent="0.15">
      <c r="R131" s="166">
        <v>8</v>
      </c>
      <c r="S131" s="1">
        <f t="shared" si="29"/>
        <v>141.05617249033332</v>
      </c>
      <c r="T131" s="167">
        <f t="shared" si="30"/>
        <v>211.58425873549999</v>
      </c>
      <c r="U131" s="168">
        <f t="shared" si="31"/>
        <v>0.36137160475535335</v>
      </c>
      <c r="V131" s="169">
        <f t="shared" si="32"/>
        <v>11.284493799226667</v>
      </c>
      <c r="W131" s="170">
        <f t="shared" si="27"/>
        <v>76.460543120219526</v>
      </c>
      <c r="X131" s="170">
        <f t="shared" si="28"/>
        <v>87.745036919446193</v>
      </c>
    </row>
    <row r="132" spans="18:25" x14ac:dyDescent="0.15">
      <c r="R132" s="166">
        <v>9</v>
      </c>
      <c r="S132" s="1">
        <f t="shared" si="29"/>
        <v>141.05617249033332</v>
      </c>
      <c r="T132" s="167">
        <f t="shared" si="30"/>
        <v>211.58425873549999</v>
      </c>
      <c r="U132" s="168">
        <f t="shared" si="31"/>
        <v>0.36347960578309274</v>
      </c>
      <c r="V132" s="169">
        <f t="shared" si="32"/>
        <v>11.284493799226667</v>
      </c>
      <c r="W132" s="170">
        <f t="shared" si="27"/>
        <v>76.906562955087438</v>
      </c>
      <c r="X132" s="170">
        <f t="shared" si="28"/>
        <v>88.191056754314104</v>
      </c>
    </row>
    <row r="133" spans="18:25" x14ac:dyDescent="0.15">
      <c r="R133" s="166">
        <v>10</v>
      </c>
      <c r="S133" s="1">
        <f t="shared" si="29"/>
        <v>141.05617249033332</v>
      </c>
      <c r="T133" s="167">
        <f t="shared" si="30"/>
        <v>211.58425873549999</v>
      </c>
      <c r="U133" s="168">
        <f t="shared" si="31"/>
        <v>0.36559990348349397</v>
      </c>
      <c r="V133" s="169">
        <f t="shared" si="32"/>
        <v>11.284493799226667</v>
      </c>
      <c r="W133" s="170">
        <f t="shared" si="27"/>
        <v>77.355184572325413</v>
      </c>
      <c r="X133" s="170">
        <f t="shared" si="28"/>
        <v>88.63967837155208</v>
      </c>
    </row>
    <row r="134" spans="18:25" x14ac:dyDescent="0.15">
      <c r="R134" s="166">
        <v>11</v>
      </c>
      <c r="S134" s="1">
        <f t="shared" si="29"/>
        <v>141.05617249033332</v>
      </c>
      <c r="T134" s="167">
        <f t="shared" si="30"/>
        <v>211.58425873549999</v>
      </c>
      <c r="U134" s="168">
        <f t="shared" si="31"/>
        <v>0.36773256958714751</v>
      </c>
      <c r="V134" s="169">
        <f t="shared" si="32"/>
        <v>11.284493799226667</v>
      </c>
      <c r="W134" s="170">
        <f t="shared" si="27"/>
        <v>77.806423148997268</v>
      </c>
      <c r="X134" s="170">
        <f t="shared" si="28"/>
        <v>89.090916948223935</v>
      </c>
    </row>
    <row r="135" spans="18:25" x14ac:dyDescent="0.15">
      <c r="R135" s="166">
        <v>12</v>
      </c>
      <c r="S135" s="1">
        <f t="shared" si="29"/>
        <v>141.05617249033332</v>
      </c>
      <c r="T135" s="167">
        <f t="shared" si="30"/>
        <v>211.58425873549999</v>
      </c>
      <c r="U135" s="168">
        <f t="shared" si="31"/>
        <v>0.36987767624307238</v>
      </c>
      <c r="V135" s="169">
        <f t="shared" si="32"/>
        <v>11.284493799226667</v>
      </c>
      <c r="W135" s="170">
        <f t="shared" si="27"/>
        <v>78.260293950699719</v>
      </c>
      <c r="X135" s="170">
        <f t="shared" si="28"/>
        <v>89.544787749926385</v>
      </c>
    </row>
    <row r="136" spans="18:25" ht="16" x14ac:dyDescent="0.3">
      <c r="S136" s="118">
        <f>IF($C$17&gt;=S121,SUM(S124:S135),"")</f>
        <v>1692.6740698839994</v>
      </c>
      <c r="T136" s="119">
        <f>IF($C$17&gt;=S121,SUM(T124:T135),"")</f>
        <v>2539.0111048260001</v>
      </c>
      <c r="U136" s="163">
        <f>IF(Y137="",0,AVERAGE(U124:U135))</f>
        <v>0.35830471771044242</v>
      </c>
      <c r="V136" s="120">
        <f>IF($C$17&gt;=S121,SUM(V124:V135),"")</f>
        <v>135.41392559072</v>
      </c>
      <c r="W136" s="121">
        <f>IF($C$17&gt;=S121,SUM(W124:W135),"")</f>
        <v>909.73965717835847</v>
      </c>
      <c r="X136" s="121">
        <f>IF($C$17&gt;=S121,SUM(X124:X135),"")</f>
        <v>1045.1535827690784</v>
      </c>
    </row>
    <row r="137" spans="18:25" x14ac:dyDescent="0.15">
      <c r="W137" s="156" t="s">
        <v>53</v>
      </c>
      <c r="X137" s="117">
        <f>IF(AND($D$38="Yes",$D$40+1=S121,$C$17&gt;=S121),$B$40,0)</f>
        <v>0</v>
      </c>
      <c r="Y137" s="142">
        <f>IF(X136="","",IF($D$38="No",X136,IF($D$38="Yes",X136-X137,X136)))</f>
        <v>1045.1535827690784</v>
      </c>
    </row>
    <row r="138" spans="18:25" ht="14" thickBot="1" x14ac:dyDescent="0.2"/>
    <row r="139" spans="18:25" ht="17" thickBot="1" x14ac:dyDescent="0.25">
      <c r="R139" s="126" t="s">
        <v>48</v>
      </c>
      <c r="S139" s="127">
        <v>5</v>
      </c>
      <c r="T139" s="154" t="s">
        <v>66</v>
      </c>
      <c r="U139" s="143">
        <f>U121-($C$36*U121)</f>
        <v>351.5825099321558</v>
      </c>
      <c r="V139" s="155" t="s">
        <v>68</v>
      </c>
      <c r="W139" s="19">
        <f>ROUND($C$25/12,15)</f>
        <v>5.8333333333329997E-3</v>
      </c>
      <c r="X139" s="161">
        <f>IF(X154="",0,(U139*12-(U139*12)*$C$36)/POWER(1+0,S139))</f>
        <v>4206.333148828312</v>
      </c>
    </row>
    <row r="140" spans="18:25" x14ac:dyDescent="0.15">
      <c r="U140" s="182" t="s">
        <v>76</v>
      </c>
      <c r="V140" s="166">
        <f>IF(S139&lt;=$C$31,$C$29,IF(AND(S139&gt;$C$31,$B$34="Yes"),AVERAGE(U142:U153),$D$34))</f>
        <v>0.08</v>
      </c>
    </row>
    <row r="141" spans="18:25" x14ac:dyDescent="0.15">
      <c r="R141" s="122" t="s">
        <v>70</v>
      </c>
      <c r="S141" s="124">
        <f>$C$24</f>
        <v>0</v>
      </c>
      <c r="T141" s="125">
        <f>100%-$S$87</f>
        <v>1</v>
      </c>
      <c r="U141" s="112" t="s">
        <v>72</v>
      </c>
      <c r="V141" s="115" t="s">
        <v>71</v>
      </c>
      <c r="W141" s="115" t="s">
        <v>67</v>
      </c>
      <c r="X141" s="116" t="s">
        <v>69</v>
      </c>
    </row>
    <row r="142" spans="18:25" x14ac:dyDescent="0.15">
      <c r="R142" s="166">
        <v>1</v>
      </c>
      <c r="S142" s="1">
        <f>$U$139*$C$27</f>
        <v>140.63300397286233</v>
      </c>
      <c r="T142" s="167">
        <f>$U$139*(100%-$C$27)</f>
        <v>210.94950595929348</v>
      </c>
      <c r="U142" s="168">
        <f>U135*(1+$W$139)</f>
        <v>0.37203529602115681</v>
      </c>
      <c r="V142" s="169">
        <f>S142*$V$68</f>
        <v>11.250640317828987</v>
      </c>
      <c r="W142" s="170">
        <f>T142*U142</f>
        <v>78.480661895082534</v>
      </c>
      <c r="X142" s="170">
        <f>W142+V142</f>
        <v>89.731302212911515</v>
      </c>
    </row>
    <row r="143" spans="18:25" x14ac:dyDescent="0.15">
      <c r="R143" s="166">
        <v>2</v>
      </c>
      <c r="S143" s="1">
        <f t="shared" ref="S143:S153" si="33">$U$139*$C$27</f>
        <v>140.63300397286233</v>
      </c>
      <c r="T143" s="167">
        <f t="shared" ref="T143:T153" si="34">$U$139*(100%-$C$27)</f>
        <v>210.94950595929348</v>
      </c>
      <c r="U143" s="168">
        <f t="shared" ref="U143:U153" si="35">U142*(1+$W$139)</f>
        <v>0.37420550191461338</v>
      </c>
      <c r="V143" s="169">
        <f t="shared" ref="V143:V153" si="36">S143*$V$68</f>
        <v>11.250640317828987</v>
      </c>
      <c r="W143" s="170">
        <f t="shared" ref="W143:W153" si="37">T143*U143</f>
        <v>78.938465756137148</v>
      </c>
      <c r="X143" s="170">
        <f t="shared" ref="X143:X153" si="38">W143+V143</f>
        <v>90.18910607396613</v>
      </c>
    </row>
    <row r="144" spans="18:25" x14ac:dyDescent="0.15">
      <c r="R144" s="166">
        <v>3</v>
      </c>
      <c r="S144" s="1">
        <f t="shared" si="33"/>
        <v>140.63300397286233</v>
      </c>
      <c r="T144" s="167">
        <f t="shared" si="34"/>
        <v>210.94950595929348</v>
      </c>
      <c r="U144" s="168">
        <f t="shared" si="35"/>
        <v>0.37638836734244846</v>
      </c>
      <c r="V144" s="169">
        <f t="shared" si="36"/>
        <v>11.250640317828987</v>
      </c>
      <c r="W144" s="170">
        <f t="shared" si="37"/>
        <v>79.398940139714568</v>
      </c>
      <c r="X144" s="170">
        <f t="shared" si="38"/>
        <v>90.64958045754355</v>
      </c>
    </row>
    <row r="145" spans="18:25" x14ac:dyDescent="0.15">
      <c r="R145" s="166">
        <v>4</v>
      </c>
      <c r="S145" s="1">
        <f t="shared" si="33"/>
        <v>140.63300397286233</v>
      </c>
      <c r="T145" s="167">
        <f t="shared" si="34"/>
        <v>210.94950595929348</v>
      </c>
      <c r="U145" s="168">
        <f t="shared" si="35"/>
        <v>0.37858396615194589</v>
      </c>
      <c r="V145" s="169">
        <f t="shared" si="36"/>
        <v>11.250640317828987</v>
      </c>
      <c r="W145" s="170">
        <f t="shared" si="37"/>
        <v>79.862100623862872</v>
      </c>
      <c r="X145" s="170">
        <f t="shared" si="38"/>
        <v>91.112740941691854</v>
      </c>
    </row>
    <row r="146" spans="18:25" x14ac:dyDescent="0.15">
      <c r="R146" s="166">
        <v>5</v>
      </c>
      <c r="S146" s="1">
        <f t="shared" si="33"/>
        <v>140.63300397286233</v>
      </c>
      <c r="T146" s="167">
        <f t="shared" si="34"/>
        <v>210.94950595929348</v>
      </c>
      <c r="U146" s="168">
        <f t="shared" si="35"/>
        <v>0.38079237262116544</v>
      </c>
      <c r="V146" s="169">
        <f t="shared" si="36"/>
        <v>11.250640317828987</v>
      </c>
      <c r="W146" s="170">
        <f t="shared" si="37"/>
        <v>80.327962877502046</v>
      </c>
      <c r="X146" s="170">
        <f t="shared" si="38"/>
        <v>91.578603195331027</v>
      </c>
    </row>
    <row r="147" spans="18:25" x14ac:dyDescent="0.15">
      <c r="R147" s="166">
        <v>6</v>
      </c>
      <c r="S147" s="1">
        <f t="shared" si="33"/>
        <v>140.63300397286233</v>
      </c>
      <c r="T147" s="167">
        <f t="shared" si="34"/>
        <v>210.94950595929348</v>
      </c>
      <c r="U147" s="168">
        <f t="shared" si="35"/>
        <v>0.38301366146145543</v>
      </c>
      <c r="V147" s="169">
        <f t="shared" si="36"/>
        <v>11.250640317828987</v>
      </c>
      <c r="W147" s="170">
        <f t="shared" si="37"/>
        <v>80.796542660954103</v>
      </c>
      <c r="X147" s="170">
        <f t="shared" si="38"/>
        <v>92.047182978783084</v>
      </c>
    </row>
    <row r="148" spans="18:25" x14ac:dyDescent="0.15">
      <c r="R148" s="166">
        <v>7</v>
      </c>
      <c r="S148" s="1">
        <f t="shared" si="33"/>
        <v>140.63300397286233</v>
      </c>
      <c r="T148" s="167">
        <f t="shared" si="34"/>
        <v>210.94950595929348</v>
      </c>
      <c r="U148" s="168">
        <f t="shared" si="35"/>
        <v>0.38524790781998042</v>
      </c>
      <c r="V148" s="169">
        <f t="shared" si="36"/>
        <v>11.250640317828987</v>
      </c>
      <c r="W148" s="170">
        <f t="shared" si="37"/>
        <v>81.267855826476307</v>
      </c>
      <c r="X148" s="170">
        <f t="shared" si="38"/>
        <v>92.518496144305288</v>
      </c>
    </row>
    <row r="149" spans="18:25" x14ac:dyDescent="0.15">
      <c r="R149" s="166">
        <v>8</v>
      </c>
      <c r="S149" s="1">
        <f t="shared" si="33"/>
        <v>140.63300397286233</v>
      </c>
      <c r="T149" s="167">
        <f t="shared" si="34"/>
        <v>210.94950595929348</v>
      </c>
      <c r="U149" s="168">
        <f t="shared" si="35"/>
        <v>0.38749518728226345</v>
      </c>
      <c r="V149" s="169">
        <f t="shared" si="36"/>
        <v>11.250640317828987</v>
      </c>
      <c r="W149" s="170">
        <f t="shared" si="37"/>
        <v>81.741918318797374</v>
      </c>
      <c r="X149" s="170">
        <f t="shared" si="38"/>
        <v>92.992558636626356</v>
      </c>
    </row>
    <row r="150" spans="18:25" x14ac:dyDescent="0.15">
      <c r="R150" s="166">
        <v>9</v>
      </c>
      <c r="S150" s="1">
        <f t="shared" si="33"/>
        <v>140.63300397286233</v>
      </c>
      <c r="T150" s="167">
        <f t="shared" si="34"/>
        <v>210.94950595929348</v>
      </c>
      <c r="U150" s="168">
        <f t="shared" si="35"/>
        <v>0.38975557587474319</v>
      </c>
      <c r="V150" s="169">
        <f t="shared" si="36"/>
        <v>11.250640317828987</v>
      </c>
      <c r="W150" s="170">
        <f t="shared" si="37"/>
        <v>82.218746175657003</v>
      </c>
      <c r="X150" s="170">
        <f t="shared" si="38"/>
        <v>93.469386493485985</v>
      </c>
    </row>
    <row r="151" spans="18:25" x14ac:dyDescent="0.15">
      <c r="R151" s="166">
        <v>10</v>
      </c>
      <c r="S151" s="1">
        <f t="shared" si="33"/>
        <v>140.63300397286233</v>
      </c>
      <c r="T151" s="167">
        <f t="shared" si="34"/>
        <v>210.94950595929348</v>
      </c>
      <c r="U151" s="168">
        <f t="shared" si="35"/>
        <v>0.39202915006734568</v>
      </c>
      <c r="V151" s="169">
        <f t="shared" si="36"/>
        <v>11.250640317828987</v>
      </c>
      <c r="W151" s="170">
        <f t="shared" si="37"/>
        <v>82.698355528348287</v>
      </c>
      <c r="X151" s="170">
        <f t="shared" si="38"/>
        <v>93.948995846177269</v>
      </c>
    </row>
    <row r="152" spans="18:25" x14ac:dyDescent="0.15">
      <c r="R152" s="166">
        <v>11</v>
      </c>
      <c r="S152" s="1">
        <f t="shared" si="33"/>
        <v>140.63300397286233</v>
      </c>
      <c r="T152" s="167">
        <f t="shared" si="34"/>
        <v>210.94950595929348</v>
      </c>
      <c r="U152" s="168">
        <f t="shared" si="35"/>
        <v>0.39431598677607171</v>
      </c>
      <c r="V152" s="169">
        <f t="shared" si="36"/>
        <v>11.250640317828987</v>
      </c>
      <c r="W152" s="170">
        <f t="shared" si="37"/>
        <v>83.180762602263627</v>
      </c>
      <c r="X152" s="170">
        <f t="shared" si="38"/>
        <v>94.431402920092609</v>
      </c>
    </row>
    <row r="153" spans="18:25" x14ac:dyDescent="0.15">
      <c r="R153" s="166">
        <v>12</v>
      </c>
      <c r="S153" s="1">
        <f t="shared" si="33"/>
        <v>140.63300397286233</v>
      </c>
      <c r="T153" s="167">
        <f t="shared" si="34"/>
        <v>210.94950595929348</v>
      </c>
      <c r="U153" s="168">
        <f t="shared" si="35"/>
        <v>0.39661616336559863</v>
      </c>
      <c r="V153" s="169">
        <f t="shared" si="36"/>
        <v>11.250640317828987</v>
      </c>
      <c r="W153" s="170">
        <f t="shared" si="37"/>
        <v>83.665983717443467</v>
      </c>
      <c r="X153" s="170">
        <f t="shared" si="38"/>
        <v>94.916624035272449</v>
      </c>
    </row>
    <row r="154" spans="18:25" ht="16" x14ac:dyDescent="0.3">
      <c r="S154" s="118">
        <f>IF($C$17&gt;=S139,SUM(S142:S153),"")</f>
        <v>1687.5960476743478</v>
      </c>
      <c r="T154" s="119">
        <f>IF($C$17&gt;=S139,SUM(T142:T153),"")</f>
        <v>2531.3940715115223</v>
      </c>
      <c r="U154" s="163">
        <f>IF(Y155="",0,AVERAGE(U142:U153))</f>
        <v>0.38420659472489899</v>
      </c>
      <c r="V154" s="120">
        <f>IF($C$17&gt;=S139,SUM(V142:V153),"")</f>
        <v>135.00768381394781</v>
      </c>
      <c r="W154" s="121">
        <f>IF($C$17&gt;=S139,SUM(W142:W153),"")</f>
        <v>972.57829612223941</v>
      </c>
      <c r="X154" s="121">
        <f>IF($C$17&gt;=S139,SUM(X142:X153),"")</f>
        <v>1107.5859799361872</v>
      </c>
    </row>
    <row r="155" spans="18:25" x14ac:dyDescent="0.15">
      <c r="W155" s="156" t="s">
        <v>53</v>
      </c>
      <c r="X155" s="117">
        <f>IF(AND($D$38="Yes",$D$40+1=S139,$C$17&gt;=S139),$B$40,0)</f>
        <v>0</v>
      </c>
      <c r="Y155" s="142">
        <f>IF(X154="","",IF($D$38="No",X154,IF($D$38="Yes",X154-X155,X154)))</f>
        <v>1107.5859799361872</v>
      </c>
    </row>
    <row r="156" spans="18:25" ht="14" thickBot="1" x14ac:dyDescent="0.2"/>
    <row r="157" spans="18:25" ht="17" thickBot="1" x14ac:dyDescent="0.25">
      <c r="R157" s="126" t="s">
        <v>48</v>
      </c>
      <c r="S157" s="127">
        <v>6</v>
      </c>
      <c r="T157" s="154" t="s">
        <v>66</v>
      </c>
      <c r="U157" s="143">
        <f>U139-($C$36*U139)</f>
        <v>350.52776240235931</v>
      </c>
      <c r="V157" s="155" t="s">
        <v>68</v>
      </c>
      <c r="W157" s="19">
        <f>ROUND($C$25/12,15)</f>
        <v>5.8333333333329997E-3</v>
      </c>
      <c r="X157" s="161">
        <f>IF(X172="",0,(U157*12-(U157*12)*$C$36)/POWER(1+0,S157))</f>
        <v>4193.7141493818272</v>
      </c>
    </row>
    <row r="158" spans="18:25" x14ac:dyDescent="0.15">
      <c r="U158" s="182" t="s">
        <v>76</v>
      </c>
      <c r="V158" s="166">
        <f>IF(S157&lt;=$C$31,$C$29,IF(AND(S157&gt;$C$31,$B$34="Yes"),AVERAGE(U160:U171),$D$34))</f>
        <v>0.08</v>
      </c>
    </row>
    <row r="159" spans="18:25" x14ac:dyDescent="0.15">
      <c r="R159" s="122" t="s">
        <v>70</v>
      </c>
      <c r="S159" s="124">
        <f>$C$24</f>
        <v>0</v>
      </c>
      <c r="T159" s="125">
        <f>100%-$S$87</f>
        <v>1</v>
      </c>
      <c r="U159" s="112" t="s">
        <v>72</v>
      </c>
      <c r="V159" s="115" t="s">
        <v>71</v>
      </c>
      <c r="W159" s="115" t="s">
        <v>67</v>
      </c>
      <c r="X159" s="116" t="s">
        <v>69</v>
      </c>
    </row>
    <row r="160" spans="18:25" x14ac:dyDescent="0.15">
      <c r="R160" s="166">
        <v>1</v>
      </c>
      <c r="S160" s="1">
        <f>$U$157*$C$27</f>
        <v>140.21110496094374</v>
      </c>
      <c r="T160" s="167">
        <f>$U$157*(100%-$C$27)</f>
        <v>210.31665744141557</v>
      </c>
      <c r="U160" s="168">
        <f>U153*(1+$W$157)</f>
        <v>0.39892975765189781</v>
      </c>
      <c r="V160" s="169">
        <f>S160*$V$68</f>
        <v>11.2168883968755</v>
      </c>
      <c r="W160" s="170">
        <f>T160*U160</f>
        <v>83.901573183261121</v>
      </c>
      <c r="X160" s="170">
        <f>W160+V160</f>
        <v>95.118461580136625</v>
      </c>
    </row>
    <row r="161" spans="18:25" x14ac:dyDescent="0.15">
      <c r="R161" s="166">
        <v>2</v>
      </c>
      <c r="S161" s="1">
        <f t="shared" ref="S161:S171" si="39">$U$157*$C$27</f>
        <v>140.21110496094374</v>
      </c>
      <c r="T161" s="167">
        <f t="shared" ref="T161:T171" si="40">$U$157*(100%-$C$27)</f>
        <v>210.31665744141557</v>
      </c>
      <c r="U161" s="168">
        <f t="shared" ref="U161:U171" si="41">U160*(1+$W$157)</f>
        <v>0.40125684790486704</v>
      </c>
      <c r="V161" s="169">
        <f t="shared" ref="V161:V171" si="42">S161*$V$68</f>
        <v>11.2168883968755</v>
      </c>
      <c r="W161" s="170">
        <f t="shared" ref="W161:W171" si="43">T161*U161</f>
        <v>84.390999026830116</v>
      </c>
      <c r="X161" s="170">
        <f t="shared" ref="X161:X171" si="44">W161+V161</f>
        <v>95.60788742370562</v>
      </c>
    </row>
    <row r="162" spans="18:25" x14ac:dyDescent="0.15">
      <c r="R162" s="166">
        <v>3</v>
      </c>
      <c r="S162" s="1">
        <f t="shared" si="39"/>
        <v>140.21110496094374</v>
      </c>
      <c r="T162" s="167">
        <f t="shared" si="40"/>
        <v>210.31665744141557</v>
      </c>
      <c r="U162" s="168">
        <f t="shared" si="41"/>
        <v>0.40359751285097861</v>
      </c>
      <c r="V162" s="169">
        <f t="shared" si="42"/>
        <v>11.2168883968755</v>
      </c>
      <c r="W162" s="170">
        <f t="shared" si="43"/>
        <v>84.883279854486588</v>
      </c>
      <c r="X162" s="170">
        <f t="shared" si="44"/>
        <v>96.100168251362092</v>
      </c>
    </row>
    <row r="163" spans="18:25" x14ac:dyDescent="0.15">
      <c r="R163" s="166">
        <v>4</v>
      </c>
      <c r="S163" s="1">
        <f t="shared" si="39"/>
        <v>140.21110496094374</v>
      </c>
      <c r="T163" s="167">
        <f t="shared" si="40"/>
        <v>210.31665744141557</v>
      </c>
      <c r="U163" s="168">
        <f t="shared" si="41"/>
        <v>0.40595183167594251</v>
      </c>
      <c r="V163" s="169">
        <f t="shared" si="42"/>
        <v>11.2168883968755</v>
      </c>
      <c r="W163" s="170">
        <f t="shared" si="43"/>
        <v>85.378432320304398</v>
      </c>
      <c r="X163" s="170">
        <f t="shared" si="44"/>
        <v>96.595320717179902</v>
      </c>
    </row>
    <row r="164" spans="18:25" x14ac:dyDescent="0.15">
      <c r="R164" s="166">
        <v>5</v>
      </c>
      <c r="S164" s="1">
        <f t="shared" si="39"/>
        <v>140.21110496094374</v>
      </c>
      <c r="T164" s="167">
        <f t="shared" si="40"/>
        <v>210.31665744141557</v>
      </c>
      <c r="U164" s="168">
        <f t="shared" si="41"/>
        <v>0.40831988402738534</v>
      </c>
      <c r="V164" s="169">
        <f t="shared" si="42"/>
        <v>11.2168883968755</v>
      </c>
      <c r="W164" s="170">
        <f t="shared" si="43"/>
        <v>85.876473175506135</v>
      </c>
      <c r="X164" s="170">
        <f t="shared" si="44"/>
        <v>97.093361572381639</v>
      </c>
    </row>
    <row r="165" spans="18:25" x14ac:dyDescent="0.15">
      <c r="R165" s="166">
        <v>6</v>
      </c>
      <c r="S165" s="1">
        <f t="shared" si="39"/>
        <v>140.21110496094374</v>
      </c>
      <c r="T165" s="167">
        <f t="shared" si="40"/>
        <v>210.31665744141557</v>
      </c>
      <c r="U165" s="168">
        <f t="shared" si="41"/>
        <v>0.41070175001754489</v>
      </c>
      <c r="V165" s="169">
        <f t="shared" si="42"/>
        <v>11.2168883968755</v>
      </c>
      <c r="W165" s="170">
        <f t="shared" si="43"/>
        <v>86.377419269029886</v>
      </c>
      <c r="X165" s="170">
        <f t="shared" si="44"/>
        <v>97.59430766590539</v>
      </c>
    </row>
    <row r="166" spans="18:25" x14ac:dyDescent="0.15">
      <c r="R166" s="166">
        <v>7</v>
      </c>
      <c r="S166" s="1">
        <f t="shared" si="39"/>
        <v>140.21110496094374</v>
      </c>
      <c r="T166" s="167">
        <f t="shared" si="40"/>
        <v>210.31665744141557</v>
      </c>
      <c r="U166" s="168">
        <f t="shared" si="41"/>
        <v>0.4130975102259804</v>
      </c>
      <c r="V166" s="169">
        <f t="shared" si="42"/>
        <v>11.2168883968755</v>
      </c>
      <c r="W166" s="170">
        <f t="shared" si="43"/>
        <v>86.881287548099181</v>
      </c>
      <c r="X166" s="170">
        <f t="shared" si="44"/>
        <v>98.098175944974685</v>
      </c>
    </row>
    <row r="167" spans="18:25" x14ac:dyDescent="0.15">
      <c r="R167" s="166">
        <v>8</v>
      </c>
      <c r="S167" s="1">
        <f t="shared" si="39"/>
        <v>140.21110496094374</v>
      </c>
      <c r="T167" s="167">
        <f t="shared" si="40"/>
        <v>210.31665744141557</v>
      </c>
      <c r="U167" s="168">
        <f t="shared" si="41"/>
        <v>0.41550724570229847</v>
      </c>
      <c r="V167" s="169">
        <f t="shared" si="42"/>
        <v>11.2168883968755</v>
      </c>
      <c r="W167" s="170">
        <f t="shared" si="43"/>
        <v>87.388095058796395</v>
      </c>
      <c r="X167" s="170">
        <f t="shared" si="44"/>
        <v>98.604983455671899</v>
      </c>
    </row>
    <row r="168" spans="18:25" x14ac:dyDescent="0.15">
      <c r="R168" s="166">
        <v>9</v>
      </c>
      <c r="S168" s="1">
        <f t="shared" si="39"/>
        <v>140.21110496094374</v>
      </c>
      <c r="T168" s="167">
        <f t="shared" si="40"/>
        <v>210.31665744141557</v>
      </c>
      <c r="U168" s="168">
        <f t="shared" si="41"/>
        <v>0.41793103796889502</v>
      </c>
      <c r="V168" s="169">
        <f t="shared" si="42"/>
        <v>11.2168883968755</v>
      </c>
      <c r="W168" s="170">
        <f t="shared" si="43"/>
        <v>87.897858946639346</v>
      </c>
      <c r="X168" s="170">
        <f t="shared" si="44"/>
        <v>99.11474734351485</v>
      </c>
    </row>
    <row r="169" spans="18:25" x14ac:dyDescent="0.15">
      <c r="R169" s="166">
        <v>10</v>
      </c>
      <c r="S169" s="1">
        <f t="shared" si="39"/>
        <v>140.21110496094374</v>
      </c>
      <c r="T169" s="167">
        <f t="shared" si="40"/>
        <v>210.31665744141557</v>
      </c>
      <c r="U169" s="168">
        <f t="shared" si="41"/>
        <v>0.4203689690237134</v>
      </c>
      <c r="V169" s="169">
        <f t="shared" si="42"/>
        <v>11.2168883968755</v>
      </c>
      <c r="W169" s="170">
        <f t="shared" si="43"/>
        <v>88.410596457161361</v>
      </c>
      <c r="X169" s="170">
        <f t="shared" si="44"/>
        <v>99.627484854036865</v>
      </c>
    </row>
    <row r="170" spans="18:25" x14ac:dyDescent="0.15">
      <c r="R170" s="166">
        <v>11</v>
      </c>
      <c r="S170" s="1">
        <f t="shared" si="39"/>
        <v>140.21110496094374</v>
      </c>
      <c r="T170" s="167">
        <f t="shared" si="40"/>
        <v>210.31665744141557</v>
      </c>
      <c r="U170" s="168">
        <f t="shared" si="41"/>
        <v>0.42282112134301825</v>
      </c>
      <c r="V170" s="169">
        <f t="shared" si="42"/>
        <v>11.2168883968755</v>
      </c>
      <c r="W170" s="170">
        <f t="shared" si="43"/>
        <v>88.92632493649478</v>
      </c>
      <c r="X170" s="170">
        <f t="shared" si="44"/>
        <v>100.14321333337028</v>
      </c>
    </row>
    <row r="171" spans="18:25" x14ac:dyDescent="0.15">
      <c r="R171" s="166">
        <v>12</v>
      </c>
      <c r="S171" s="1">
        <f t="shared" si="39"/>
        <v>140.21110496094374</v>
      </c>
      <c r="T171" s="167">
        <f t="shared" si="40"/>
        <v>210.31665744141557</v>
      </c>
      <c r="U171" s="168">
        <f t="shared" si="41"/>
        <v>0.4252875778841857</v>
      </c>
      <c r="V171" s="169">
        <f t="shared" si="42"/>
        <v>11.2168883968755</v>
      </c>
      <c r="W171" s="170">
        <f t="shared" si="43"/>
        <v>89.445061831957631</v>
      </c>
      <c r="X171" s="170">
        <f t="shared" si="44"/>
        <v>100.66195022883313</v>
      </c>
    </row>
    <row r="172" spans="18:25" ht="16" x14ac:dyDescent="0.3">
      <c r="S172" s="118">
        <f>IF($C$17&gt;=S157,SUM(S160:S171),"")</f>
        <v>1682.5332595313246</v>
      </c>
      <c r="T172" s="119">
        <f>IF($C$17&gt;=S157,SUM(T160:T171),"")</f>
        <v>2523.7998892969863</v>
      </c>
      <c r="U172" s="163">
        <f>IF(Y173="",0,AVERAGE(U160:U171))</f>
        <v>0.41198092052305896</v>
      </c>
      <c r="V172" s="120">
        <f>IF($C$17&gt;=S157,SUM(V160:V171),"")</f>
        <v>134.60266076250602</v>
      </c>
      <c r="W172" s="121">
        <f>IF($C$17&gt;=S157,SUM(W160:W171),"")</f>
        <v>1039.7574016085669</v>
      </c>
      <c r="X172" s="121">
        <f>IF($C$17&gt;=S157,SUM(X160:X171),"")</f>
        <v>1174.3600623710731</v>
      </c>
    </row>
    <row r="173" spans="18:25" x14ac:dyDescent="0.15">
      <c r="W173" s="156" t="s">
        <v>53</v>
      </c>
      <c r="X173" s="117">
        <f>IF(AND($D$38="Yes",$D$40+1=S157,$C$17&gt;=S157),$B$40,0)</f>
        <v>0</v>
      </c>
      <c r="Y173" s="142">
        <f>IF(X172="","",IF($D$38="No",X172,IF($D$38="Yes",X172-X173,X172)))</f>
        <v>1174.3600623710731</v>
      </c>
    </row>
    <row r="174" spans="18:25" ht="14" thickBot="1" x14ac:dyDescent="0.2"/>
    <row r="175" spans="18:25" ht="17" thickBot="1" x14ac:dyDescent="0.25">
      <c r="R175" s="126" t="s">
        <v>48</v>
      </c>
      <c r="S175" s="127">
        <v>7</v>
      </c>
      <c r="T175" s="154" t="s">
        <v>66</v>
      </c>
      <c r="U175" s="143">
        <f>U157-($C$36*U157)</f>
        <v>349.47617911515226</v>
      </c>
      <c r="V175" s="155" t="s">
        <v>68</v>
      </c>
      <c r="W175" s="19">
        <f>ROUND($C$25/12,15)</f>
        <v>5.8333333333329997E-3</v>
      </c>
      <c r="X175" s="161">
        <f>IF(X190="",0,(U175*12-(U175*12)*$C$36)/POWER(1+0,S175))</f>
        <v>4181.1330069336818</v>
      </c>
    </row>
    <row r="176" spans="18:25" x14ac:dyDescent="0.15">
      <c r="U176" s="182" t="s">
        <v>76</v>
      </c>
      <c r="V176" s="166">
        <f>IF(S175&lt;=$C$31,$C$29,IF(AND(S175&gt;$C$31,$B$34="Yes"),AVERAGE(U178:U189),$D$34))</f>
        <v>0.08</v>
      </c>
    </row>
    <row r="177" spans="18:25" x14ac:dyDescent="0.15">
      <c r="R177" s="122" t="s">
        <v>70</v>
      </c>
      <c r="S177" s="124">
        <f>$C$24</f>
        <v>0</v>
      </c>
      <c r="T177" s="125">
        <f>100%-$S$87</f>
        <v>1</v>
      </c>
      <c r="U177" s="112" t="s">
        <v>72</v>
      </c>
      <c r="V177" s="115" t="s">
        <v>71</v>
      </c>
      <c r="W177" s="115" t="s">
        <v>67</v>
      </c>
      <c r="X177" s="116" t="s">
        <v>69</v>
      </c>
    </row>
    <row r="178" spans="18:25" x14ac:dyDescent="0.15">
      <c r="R178" s="166">
        <v>1</v>
      </c>
      <c r="S178" s="1">
        <f>$U$175*$C$27</f>
        <v>139.79047164606092</v>
      </c>
      <c r="T178" s="167">
        <f>$U$175*(100%-$C$27)</f>
        <v>209.68570746909134</v>
      </c>
      <c r="U178" s="168">
        <f>U171*(1+$W$175)</f>
        <v>0.42776842208850996</v>
      </c>
      <c r="V178" s="169">
        <f>S178*$V$68</f>
        <v>11.183237731684875</v>
      </c>
      <c r="W178" s="170">
        <f>T178*U178</f>
        <v>89.696924218566096</v>
      </c>
      <c r="X178" s="170">
        <f>W178+V178</f>
        <v>100.88016195025097</v>
      </c>
    </row>
    <row r="179" spans="18:25" x14ac:dyDescent="0.15">
      <c r="R179" s="166">
        <v>2</v>
      </c>
      <c r="S179" s="1">
        <f t="shared" ref="S179:S189" si="45">$U$175*$C$27</f>
        <v>139.79047164606092</v>
      </c>
      <c r="T179" s="167">
        <f t="shared" ref="T179:T189" si="46">$U$175*(100%-$C$27)</f>
        <v>209.68570746909134</v>
      </c>
      <c r="U179" s="168">
        <f t="shared" ref="U179:U189" si="47">U178*(1+$W$175)</f>
        <v>0.43026373788402611</v>
      </c>
      <c r="V179" s="169">
        <f t="shared" ref="V179:V189" si="48">S179*$V$68</f>
        <v>11.183237731684875</v>
      </c>
      <c r="W179" s="170">
        <f t="shared" ref="W179:W189" si="49">T179*U179</f>
        <v>90.220156276507694</v>
      </c>
      <c r="X179" s="170">
        <f t="shared" ref="X179:X189" si="50">W179+V179</f>
        <v>101.40339400819256</v>
      </c>
    </row>
    <row r="180" spans="18:25" x14ac:dyDescent="0.15">
      <c r="R180" s="166">
        <v>3</v>
      </c>
      <c r="S180" s="1">
        <f t="shared" si="45"/>
        <v>139.79047164606092</v>
      </c>
      <c r="T180" s="167">
        <f t="shared" si="46"/>
        <v>209.68570746909134</v>
      </c>
      <c r="U180" s="168">
        <f t="shared" si="47"/>
        <v>0.43277360968834944</v>
      </c>
      <c r="V180" s="169">
        <f t="shared" si="48"/>
        <v>11.183237731684875</v>
      </c>
      <c r="W180" s="170">
        <f t="shared" si="49"/>
        <v>90.746440521453948</v>
      </c>
      <c r="X180" s="170">
        <f t="shared" si="50"/>
        <v>101.92967825313882</v>
      </c>
    </row>
    <row r="181" spans="18:25" x14ac:dyDescent="0.15">
      <c r="R181" s="166">
        <v>4</v>
      </c>
      <c r="S181" s="1">
        <f t="shared" si="45"/>
        <v>139.79047164606092</v>
      </c>
      <c r="T181" s="167">
        <f t="shared" si="46"/>
        <v>209.68570746909134</v>
      </c>
      <c r="U181" s="168">
        <f t="shared" si="47"/>
        <v>0.43529812241153132</v>
      </c>
      <c r="V181" s="169">
        <f t="shared" si="48"/>
        <v>11.183237731684875</v>
      </c>
      <c r="W181" s="170">
        <f t="shared" si="49"/>
        <v>91.275794757829075</v>
      </c>
      <c r="X181" s="170">
        <f t="shared" si="50"/>
        <v>102.45903248951394</v>
      </c>
    </row>
    <row r="182" spans="18:25" x14ac:dyDescent="0.15">
      <c r="R182" s="166">
        <v>5</v>
      </c>
      <c r="S182" s="1">
        <f t="shared" si="45"/>
        <v>139.79047164606092</v>
      </c>
      <c r="T182" s="167">
        <f t="shared" si="46"/>
        <v>209.68570746909134</v>
      </c>
      <c r="U182" s="168">
        <f t="shared" si="47"/>
        <v>0.43783736145893176</v>
      </c>
      <c r="V182" s="169">
        <f t="shared" si="48"/>
        <v>11.183237731684875</v>
      </c>
      <c r="W182" s="170">
        <f t="shared" si="49"/>
        <v>91.808236893916373</v>
      </c>
      <c r="X182" s="170">
        <f t="shared" si="50"/>
        <v>102.99147462560124</v>
      </c>
    </row>
    <row r="183" spans="18:25" x14ac:dyDescent="0.15">
      <c r="R183" s="166">
        <v>6</v>
      </c>
      <c r="S183" s="1">
        <f t="shared" si="45"/>
        <v>139.79047164606092</v>
      </c>
      <c r="T183" s="167">
        <f t="shared" si="46"/>
        <v>209.68570746909134</v>
      </c>
      <c r="U183" s="168">
        <f t="shared" si="47"/>
        <v>0.4403914127341087</v>
      </c>
      <c r="V183" s="169">
        <f t="shared" si="48"/>
        <v>11.183237731684875</v>
      </c>
      <c r="W183" s="170">
        <f t="shared" si="49"/>
        <v>92.343784942464183</v>
      </c>
      <c r="X183" s="170">
        <f t="shared" si="50"/>
        <v>103.52702267414905</v>
      </c>
    </row>
    <row r="184" spans="18:25" x14ac:dyDescent="0.15">
      <c r="R184" s="166">
        <v>7</v>
      </c>
      <c r="S184" s="1">
        <f t="shared" si="45"/>
        <v>139.79047164606092</v>
      </c>
      <c r="T184" s="167">
        <f t="shared" si="46"/>
        <v>209.68570746909134</v>
      </c>
      <c r="U184" s="168">
        <f t="shared" si="47"/>
        <v>0.44296036264172417</v>
      </c>
      <c r="V184" s="169">
        <f t="shared" si="48"/>
        <v>11.183237731684875</v>
      </c>
      <c r="W184" s="170">
        <f t="shared" si="49"/>
        <v>92.882457021295195</v>
      </c>
      <c r="X184" s="170">
        <f t="shared" si="50"/>
        <v>104.06569475298006</v>
      </c>
    </row>
    <row r="185" spans="18:25" x14ac:dyDescent="0.15">
      <c r="R185" s="166">
        <v>8</v>
      </c>
      <c r="S185" s="1">
        <f t="shared" si="45"/>
        <v>139.79047164606092</v>
      </c>
      <c r="T185" s="167">
        <f t="shared" si="46"/>
        <v>209.68570746909134</v>
      </c>
      <c r="U185" s="168">
        <f t="shared" si="47"/>
        <v>0.44554429809046736</v>
      </c>
      <c r="V185" s="169">
        <f t="shared" si="48"/>
        <v>11.183237731684875</v>
      </c>
      <c r="W185" s="170">
        <f t="shared" si="49"/>
        <v>93.424271353919366</v>
      </c>
      <c r="X185" s="170">
        <f t="shared" si="50"/>
        <v>104.60750908560424</v>
      </c>
    </row>
    <row r="186" spans="18:25" x14ac:dyDescent="0.15">
      <c r="R186" s="166">
        <v>9</v>
      </c>
      <c r="S186" s="1">
        <f t="shared" si="45"/>
        <v>139.79047164606092</v>
      </c>
      <c r="T186" s="167">
        <f t="shared" si="46"/>
        <v>209.68570746909134</v>
      </c>
      <c r="U186" s="168">
        <f t="shared" si="47"/>
        <v>0.44814330649599488</v>
      </c>
      <c r="V186" s="169">
        <f t="shared" si="48"/>
        <v>11.183237731684875</v>
      </c>
      <c r="W186" s="170">
        <f t="shared" si="49"/>
        <v>93.969246270150521</v>
      </c>
      <c r="X186" s="170">
        <f t="shared" si="50"/>
        <v>105.15248400183539</v>
      </c>
    </row>
    <row r="187" spans="18:25" x14ac:dyDescent="0.15">
      <c r="R187" s="166">
        <v>10</v>
      </c>
      <c r="S187" s="1">
        <f t="shared" si="45"/>
        <v>139.79047164606092</v>
      </c>
      <c r="T187" s="167">
        <f t="shared" si="46"/>
        <v>209.68570746909134</v>
      </c>
      <c r="U187" s="168">
        <f t="shared" si="47"/>
        <v>0.45075747578388797</v>
      </c>
      <c r="V187" s="169">
        <f t="shared" si="48"/>
        <v>11.183237731684875</v>
      </c>
      <c r="W187" s="170">
        <f t="shared" si="49"/>
        <v>94.517400206726364</v>
      </c>
      <c r="X187" s="170">
        <f t="shared" si="50"/>
        <v>105.70063793841123</v>
      </c>
    </row>
    <row r="188" spans="18:25" x14ac:dyDescent="0.15">
      <c r="R188" s="166">
        <v>11</v>
      </c>
      <c r="S188" s="1">
        <f t="shared" si="45"/>
        <v>139.79047164606092</v>
      </c>
      <c r="T188" s="167">
        <f t="shared" si="46"/>
        <v>209.68570746909134</v>
      </c>
      <c r="U188" s="168">
        <f t="shared" si="47"/>
        <v>0.45338689439262714</v>
      </c>
      <c r="V188" s="169">
        <f t="shared" si="48"/>
        <v>11.183237731684875</v>
      </c>
      <c r="W188" s="170">
        <f t="shared" si="49"/>
        <v>95.068751707932222</v>
      </c>
      <c r="X188" s="170">
        <f t="shared" si="50"/>
        <v>106.25198943961709</v>
      </c>
    </row>
    <row r="189" spans="18:25" x14ac:dyDescent="0.15">
      <c r="R189" s="166">
        <v>12</v>
      </c>
      <c r="S189" s="1">
        <f t="shared" si="45"/>
        <v>139.79047164606092</v>
      </c>
      <c r="T189" s="167">
        <f t="shared" si="46"/>
        <v>209.68570746909134</v>
      </c>
      <c r="U189" s="168">
        <f t="shared" si="47"/>
        <v>0.45603165127658396</v>
      </c>
      <c r="V189" s="169">
        <f t="shared" si="48"/>
        <v>11.183237731684875</v>
      </c>
      <c r="W189" s="170">
        <f t="shared" si="49"/>
        <v>95.623319426228463</v>
      </c>
      <c r="X189" s="170">
        <f t="shared" si="50"/>
        <v>106.80655715791333</v>
      </c>
    </row>
    <row r="190" spans="18:25" ht="16" x14ac:dyDescent="0.3">
      <c r="S190" s="118">
        <f>IF($C$17&gt;=S175,SUM(S178:S189),"")</f>
        <v>1677.4856597527312</v>
      </c>
      <c r="T190" s="119">
        <f>IF($C$17&gt;=S175,SUM(T178:T189),"")</f>
        <v>2516.2284896290967</v>
      </c>
      <c r="U190" s="163">
        <f>IF(Y191="",0,AVERAGE(U178:U189))</f>
        <v>0.44176305457889525</v>
      </c>
      <c r="V190" s="120">
        <f>IF($C$17&gt;=S175,SUM(V178:V189),"")</f>
        <v>134.19885278021846</v>
      </c>
      <c r="W190" s="121">
        <f>IF($C$17&gt;=S175,SUM(W178:W189),"")</f>
        <v>1111.5767835969893</v>
      </c>
      <c r="X190" s="121">
        <f>IF($C$17&gt;=S175,SUM(X178:X189),"")</f>
        <v>1245.775636377208</v>
      </c>
    </row>
    <row r="191" spans="18:25" x14ac:dyDescent="0.15">
      <c r="W191" s="156" t="s">
        <v>53</v>
      </c>
      <c r="X191" s="117">
        <f>IF(AND($D$38="Yes",$D$40+1=S175,$C$17&gt;=S175),$B$40,0)</f>
        <v>0</v>
      </c>
      <c r="Y191" s="142">
        <f>IF(X190="","",IF($D$38="No",X190,IF($D$38="Yes",X190-X191,X190)))</f>
        <v>1245.775636377208</v>
      </c>
    </row>
    <row r="192" spans="18:25" ht="14" thickBot="1" x14ac:dyDescent="0.2"/>
    <row r="193" spans="18:24" ht="17" thickBot="1" x14ac:dyDescent="0.25">
      <c r="R193" s="126" t="s">
        <v>48</v>
      </c>
      <c r="S193" s="127">
        <v>8</v>
      </c>
      <c r="T193" s="154" t="s">
        <v>66</v>
      </c>
      <c r="U193" s="143">
        <f>U175-($C$36*U175)</f>
        <v>348.42775057780682</v>
      </c>
      <c r="V193" s="155" t="s">
        <v>68</v>
      </c>
      <c r="W193" s="19">
        <f>ROUND($C$25/12,15)</f>
        <v>5.8333333333329997E-3</v>
      </c>
      <c r="X193" s="161">
        <f>IF(X208="",0,(U193*12-(U193*12)*$C$36)/POWER(1+0,S193))</f>
        <v>4168.5896079128806</v>
      </c>
    </row>
    <row r="194" spans="18:24" x14ac:dyDescent="0.15">
      <c r="U194" s="182" t="s">
        <v>76</v>
      </c>
      <c r="V194" s="166">
        <f>IF(S193&lt;=$C$31,$C$29,IF(AND(S193&gt;$C$31,$B$34="Yes"),AVERAGE(U196:U207),$D$34))</f>
        <v>0.08</v>
      </c>
    </row>
    <row r="195" spans="18:24" x14ac:dyDescent="0.15">
      <c r="R195" s="122" t="s">
        <v>70</v>
      </c>
      <c r="S195" s="124">
        <f>$C$24</f>
        <v>0</v>
      </c>
      <c r="T195" s="125">
        <f>100%-$S$87</f>
        <v>1</v>
      </c>
      <c r="U195" s="112" t="s">
        <v>72</v>
      </c>
      <c r="V195" s="115" t="s">
        <v>71</v>
      </c>
      <c r="W195" s="115" t="s">
        <v>67</v>
      </c>
      <c r="X195" s="116" t="s">
        <v>69</v>
      </c>
    </row>
    <row r="196" spans="18:24" x14ac:dyDescent="0.15">
      <c r="R196" s="166">
        <v>1</v>
      </c>
      <c r="S196" s="1">
        <f>$U$193*$C$27</f>
        <v>139.37110023112274</v>
      </c>
      <c r="T196" s="167">
        <f>$U$193*(100%-$C$27)</f>
        <v>209.05665034668408</v>
      </c>
      <c r="U196" s="168">
        <f>U189*(1+$W$193)</f>
        <v>0.45869183590903051</v>
      </c>
      <c r="V196" s="169">
        <f>S196*$V$68</f>
        <v>11.149688018489819</v>
      </c>
      <c r="W196" s="170">
        <f>T196*U196</f>
        <v>95.892578756512776</v>
      </c>
      <c r="X196" s="170">
        <f>W196+V196</f>
        <v>107.04226677500259</v>
      </c>
    </row>
    <row r="197" spans="18:24" x14ac:dyDescent="0.15">
      <c r="R197" s="166">
        <v>2</v>
      </c>
      <c r="S197" s="1">
        <f t="shared" ref="S197:S207" si="51">$U$193*$C$27</f>
        <v>139.37110023112274</v>
      </c>
      <c r="T197" s="167">
        <f t="shared" ref="T197:T207" si="52">$U$193*(100%-$C$27)</f>
        <v>209.05665034668408</v>
      </c>
      <c r="U197" s="168">
        <f t="shared" ref="U197:U207" si="53">U196*(1+$W$193)</f>
        <v>0.4613675382851663</v>
      </c>
      <c r="V197" s="169">
        <f t="shared" ref="V197:V207" si="54">S197*$V$68</f>
        <v>11.149688018489819</v>
      </c>
      <c r="W197" s="170">
        <f t="shared" ref="W197:W207" si="55">T197*U197</f>
        <v>96.451952132592396</v>
      </c>
      <c r="X197" s="170">
        <f t="shared" ref="X197:X207" si="56">W197+V197</f>
        <v>107.60164015108222</v>
      </c>
    </row>
    <row r="198" spans="18:24" x14ac:dyDescent="0.15">
      <c r="R198" s="166">
        <v>3</v>
      </c>
      <c r="S198" s="1">
        <f t="shared" si="51"/>
        <v>139.37110023112274</v>
      </c>
      <c r="T198" s="167">
        <f t="shared" si="52"/>
        <v>209.05665034668408</v>
      </c>
      <c r="U198" s="168">
        <f t="shared" si="53"/>
        <v>0.46405884892516291</v>
      </c>
      <c r="V198" s="169">
        <f t="shared" si="54"/>
        <v>11.149688018489819</v>
      </c>
      <c r="W198" s="170">
        <f t="shared" si="55"/>
        <v>97.014588520032476</v>
      </c>
      <c r="X198" s="170">
        <f t="shared" si="56"/>
        <v>108.1642765385223</v>
      </c>
    </row>
    <row r="199" spans="18:24" x14ac:dyDescent="0.15">
      <c r="R199" s="166">
        <v>4</v>
      </c>
      <c r="S199" s="1">
        <f t="shared" si="51"/>
        <v>139.37110023112274</v>
      </c>
      <c r="T199" s="167">
        <f t="shared" si="52"/>
        <v>209.05665034668408</v>
      </c>
      <c r="U199" s="168">
        <f t="shared" si="53"/>
        <v>0.46676585887722616</v>
      </c>
      <c r="V199" s="169">
        <f t="shared" si="54"/>
        <v>11.149688018489819</v>
      </c>
      <c r="W199" s="170">
        <f t="shared" si="55"/>
        <v>97.580506953065949</v>
      </c>
      <c r="X199" s="170">
        <f t="shared" si="56"/>
        <v>108.73019497155576</v>
      </c>
    </row>
    <row r="200" spans="18:24" x14ac:dyDescent="0.15">
      <c r="R200" s="166">
        <v>5</v>
      </c>
      <c r="S200" s="1">
        <f t="shared" si="51"/>
        <v>139.37110023112274</v>
      </c>
      <c r="T200" s="167">
        <f t="shared" si="52"/>
        <v>209.05665034668408</v>
      </c>
      <c r="U200" s="168">
        <f t="shared" si="53"/>
        <v>0.46948865972067644</v>
      </c>
      <c r="V200" s="169">
        <f t="shared" si="54"/>
        <v>11.149688018489819</v>
      </c>
      <c r="W200" s="170">
        <f t="shared" si="55"/>
        <v>98.149726576958798</v>
      </c>
      <c r="X200" s="170">
        <f t="shared" si="56"/>
        <v>109.29941459544861</v>
      </c>
    </row>
    <row r="201" spans="18:24" x14ac:dyDescent="0.15">
      <c r="R201" s="166">
        <v>6</v>
      </c>
      <c r="S201" s="1">
        <f t="shared" si="51"/>
        <v>139.37110023112274</v>
      </c>
      <c r="T201" s="167">
        <f t="shared" si="52"/>
        <v>209.05665034668408</v>
      </c>
      <c r="U201" s="168">
        <f t="shared" si="53"/>
        <v>0.47222734356904683</v>
      </c>
      <c r="V201" s="169">
        <f t="shared" si="54"/>
        <v>11.149688018489819</v>
      </c>
      <c r="W201" s="170">
        <f t="shared" si="55"/>
        <v>98.72226664865768</v>
      </c>
      <c r="X201" s="170">
        <f t="shared" si="56"/>
        <v>109.87195466714749</v>
      </c>
    </row>
    <row r="202" spans="18:24" x14ac:dyDescent="0.15">
      <c r="R202" s="166">
        <v>7</v>
      </c>
      <c r="S202" s="1">
        <f t="shared" si="51"/>
        <v>139.37110023112274</v>
      </c>
      <c r="T202" s="167">
        <f t="shared" si="52"/>
        <v>209.05665034668408</v>
      </c>
      <c r="U202" s="168">
        <f t="shared" si="53"/>
        <v>0.47498200307319943</v>
      </c>
      <c r="V202" s="169">
        <f t="shared" si="54"/>
        <v>11.149688018489819</v>
      </c>
      <c r="W202" s="170">
        <f t="shared" si="55"/>
        <v>99.298146537441482</v>
      </c>
      <c r="X202" s="170">
        <f t="shared" si="56"/>
        <v>110.44783455593131</v>
      </c>
    </row>
    <row r="203" spans="18:24" x14ac:dyDescent="0.15">
      <c r="R203" s="166">
        <v>8</v>
      </c>
      <c r="S203" s="1">
        <f t="shared" si="51"/>
        <v>139.37110023112274</v>
      </c>
      <c r="T203" s="167">
        <f t="shared" si="52"/>
        <v>209.05665034668408</v>
      </c>
      <c r="U203" s="168">
        <f t="shared" si="53"/>
        <v>0.47775273142445956</v>
      </c>
      <c r="V203" s="169">
        <f t="shared" si="54"/>
        <v>11.149688018489819</v>
      </c>
      <c r="W203" s="170">
        <f t="shared" si="55"/>
        <v>99.877385725576517</v>
      </c>
      <c r="X203" s="170">
        <f t="shared" si="56"/>
        <v>111.02707374406634</v>
      </c>
    </row>
    <row r="204" spans="18:24" x14ac:dyDescent="0.15">
      <c r="R204" s="166">
        <v>9</v>
      </c>
      <c r="S204" s="1">
        <f t="shared" si="51"/>
        <v>139.37110023112274</v>
      </c>
      <c r="T204" s="167">
        <f t="shared" si="52"/>
        <v>209.05665034668408</v>
      </c>
      <c r="U204" s="168">
        <f t="shared" si="53"/>
        <v>0.4805396223577687</v>
      </c>
      <c r="V204" s="169">
        <f t="shared" si="54"/>
        <v>11.149688018489819</v>
      </c>
      <c r="W204" s="170">
        <f t="shared" si="55"/>
        <v>100.46000380897566</v>
      </c>
      <c r="X204" s="170">
        <f t="shared" si="56"/>
        <v>111.60969182746547</v>
      </c>
    </row>
    <row r="205" spans="18:24" x14ac:dyDescent="0.15">
      <c r="R205" s="166">
        <v>10</v>
      </c>
      <c r="S205" s="1">
        <f t="shared" si="51"/>
        <v>139.37110023112274</v>
      </c>
      <c r="T205" s="167">
        <f t="shared" si="52"/>
        <v>209.05665034668408</v>
      </c>
      <c r="U205" s="168">
        <f t="shared" si="53"/>
        <v>0.48334277015485549</v>
      </c>
      <c r="V205" s="169">
        <f t="shared" si="54"/>
        <v>11.149688018489819</v>
      </c>
      <c r="W205" s="170">
        <f t="shared" si="55"/>
        <v>101.04602049786132</v>
      </c>
      <c r="X205" s="170">
        <f t="shared" si="56"/>
        <v>112.19570851635115</v>
      </c>
    </row>
    <row r="206" spans="18:24" x14ac:dyDescent="0.15">
      <c r="R206" s="166">
        <v>11</v>
      </c>
      <c r="S206" s="1">
        <f t="shared" si="51"/>
        <v>139.37110023112274</v>
      </c>
      <c r="T206" s="167">
        <f t="shared" si="52"/>
        <v>209.05665034668408</v>
      </c>
      <c r="U206" s="168">
        <f t="shared" si="53"/>
        <v>0.48616226964742526</v>
      </c>
      <c r="V206" s="169">
        <f t="shared" si="54"/>
        <v>11.149688018489819</v>
      </c>
      <c r="W206" s="170">
        <f t="shared" si="55"/>
        <v>101.63545561743213</v>
      </c>
      <c r="X206" s="170">
        <f t="shared" si="56"/>
        <v>112.78514363592194</v>
      </c>
    </row>
    <row r="207" spans="18:24" x14ac:dyDescent="0.15">
      <c r="R207" s="166">
        <v>12</v>
      </c>
      <c r="S207" s="1">
        <f t="shared" si="51"/>
        <v>139.37110023112274</v>
      </c>
      <c r="T207" s="167">
        <f t="shared" si="52"/>
        <v>209.05665034668408</v>
      </c>
      <c r="U207" s="168">
        <f t="shared" si="53"/>
        <v>0.48899821622036838</v>
      </c>
      <c r="V207" s="169">
        <f t="shared" si="54"/>
        <v>11.149688018489819</v>
      </c>
      <c r="W207" s="170">
        <f t="shared" si="55"/>
        <v>102.22832910853377</v>
      </c>
      <c r="X207" s="170">
        <f t="shared" si="56"/>
        <v>113.37801712702358</v>
      </c>
    </row>
    <row r="208" spans="18:24" ht="16" x14ac:dyDescent="0.3">
      <c r="S208" s="118">
        <f>IF($C$17&gt;=S193,SUM(S196:S207),"")</f>
        <v>1672.4532027734724</v>
      </c>
      <c r="T208" s="119">
        <f>IF($C$17&gt;=S193,SUM(T196:T207),"")</f>
        <v>2508.6798041602087</v>
      </c>
      <c r="U208" s="163">
        <f>IF(Y209="",0,AVERAGE(U196:U207))</f>
        <v>0.47369814151369888</v>
      </c>
      <c r="V208" s="120">
        <f>IF($C$17&gt;=S193,SUM(V196:V207),"")</f>
        <v>133.79625622187785</v>
      </c>
      <c r="W208" s="121">
        <f>IF($C$17&gt;=S193,SUM(W196:W207),"")</f>
        <v>1188.3569608836408</v>
      </c>
      <c r="X208" s="121">
        <f>IF($C$17&gt;=S193,SUM(X196:X207),"")</f>
        <v>1322.1532171055187</v>
      </c>
    </row>
    <row r="209" spans="18:25" x14ac:dyDescent="0.15">
      <c r="W209" s="156" t="s">
        <v>53</v>
      </c>
      <c r="X209" s="117">
        <f>IF(AND($D$38="Yes",$D$40+1=S193,$C$17&gt;=S193),$B$40,0)</f>
        <v>0</v>
      </c>
      <c r="Y209" s="142">
        <f>IF(X208="","",IF($D$38="No",X208,IF($D$38="Yes",X208-X209,X208)))</f>
        <v>1322.1532171055187</v>
      </c>
    </row>
    <row r="210" spans="18:25" ht="14" thickBot="1" x14ac:dyDescent="0.2"/>
    <row r="211" spans="18:25" ht="17" thickBot="1" x14ac:dyDescent="0.25">
      <c r="R211" s="126" t="s">
        <v>48</v>
      </c>
      <c r="S211" s="127">
        <v>9</v>
      </c>
      <c r="T211" s="154" t="s">
        <v>66</v>
      </c>
      <c r="U211" s="143">
        <f>U193-($C$36*U193)</f>
        <v>347.38246732607342</v>
      </c>
      <c r="V211" s="155" t="s">
        <v>68</v>
      </c>
      <c r="W211" s="19">
        <f>ROUND($C$25/12,15)</f>
        <v>5.8333333333329997E-3</v>
      </c>
      <c r="X211" s="161">
        <f>IF(X226="",0,(U211*12-(U211*12)*$C$36)/POWER(1+0,S211))</f>
        <v>4156.0838390891431</v>
      </c>
    </row>
    <row r="212" spans="18:25" x14ac:dyDescent="0.15">
      <c r="U212" s="182" t="s">
        <v>76</v>
      </c>
      <c r="V212" s="166">
        <f>IF(S211&lt;=$C$31,$C$29,IF(AND(S211&gt;$C$31,$B$34="Yes"),AVERAGE(U214:U225),$D$34))</f>
        <v>0.08</v>
      </c>
    </row>
    <row r="213" spans="18:25" x14ac:dyDescent="0.15">
      <c r="R213" s="122" t="s">
        <v>70</v>
      </c>
      <c r="S213" s="124">
        <f>$C$24</f>
        <v>0</v>
      </c>
      <c r="T213" s="125">
        <f>100%-$S$87</f>
        <v>1</v>
      </c>
      <c r="U213" s="112" t="s">
        <v>72</v>
      </c>
      <c r="V213" s="115" t="s">
        <v>71</v>
      </c>
      <c r="W213" s="115" t="s">
        <v>67</v>
      </c>
      <c r="X213" s="116" t="s">
        <v>69</v>
      </c>
    </row>
    <row r="214" spans="18:25" x14ac:dyDescent="0.15">
      <c r="R214" s="166">
        <v>1</v>
      </c>
      <c r="S214" s="1">
        <f>$U$211*$C$27</f>
        <v>138.95298693042938</v>
      </c>
      <c r="T214" s="167">
        <f>$U$211*(100%-$C$27)</f>
        <v>208.42948039564405</v>
      </c>
      <c r="U214" s="168">
        <f>U207*(1+$W$211)</f>
        <v>0.49185070581498697</v>
      </c>
      <c r="V214" s="169">
        <f>S214*$V$68</f>
        <v>11.116238954434349</v>
      </c>
      <c r="W214" s="170">
        <f>T214*U214</f>
        <v>102.51618704524851</v>
      </c>
      <c r="X214" s="170">
        <f>W214+V214</f>
        <v>113.63242599968287</v>
      </c>
    </row>
    <row r="215" spans="18:25" x14ac:dyDescent="0.15">
      <c r="R215" s="166">
        <v>2</v>
      </c>
      <c r="S215" s="1">
        <f t="shared" ref="S215:S225" si="57">$U$211*$C$27</f>
        <v>138.95298693042938</v>
      </c>
      <c r="T215" s="167">
        <f t="shared" ref="T215:T225" si="58">$U$211*(100%-$C$27)</f>
        <v>208.42948039564405</v>
      </c>
      <c r="U215" s="168">
        <f>U214*(1+$W$211)</f>
        <v>0.49471983493224087</v>
      </c>
      <c r="V215" s="169">
        <f t="shared" ref="V215:V225" si="59">S215*$V$68</f>
        <v>11.116238954434349</v>
      </c>
      <c r="W215" s="170">
        <f t="shared" ref="W215:W225" si="60">T215*U215</f>
        <v>103.11419813634576</v>
      </c>
      <c r="X215" s="170">
        <f t="shared" ref="X215:X225" si="61">W215+V215</f>
        <v>114.23043709078011</v>
      </c>
    </row>
    <row r="216" spans="18:25" x14ac:dyDescent="0.15">
      <c r="R216" s="166">
        <v>3</v>
      </c>
      <c r="S216" s="1">
        <f t="shared" si="57"/>
        <v>138.95298693042938</v>
      </c>
      <c r="T216" s="167">
        <f t="shared" si="58"/>
        <v>208.42948039564405</v>
      </c>
      <c r="U216" s="168">
        <f t="shared" ref="U216:U225" si="62">U215*(1+$W$211)</f>
        <v>0.49760570063601206</v>
      </c>
      <c r="V216" s="169">
        <f t="shared" si="59"/>
        <v>11.116238954434349</v>
      </c>
      <c r="W216" s="170">
        <f t="shared" si="60"/>
        <v>103.71569762547439</v>
      </c>
      <c r="X216" s="170">
        <f t="shared" si="61"/>
        <v>114.83193657990874</v>
      </c>
    </row>
    <row r="217" spans="18:25" x14ac:dyDescent="0.15">
      <c r="R217" s="166">
        <v>4</v>
      </c>
      <c r="S217" s="1">
        <f t="shared" si="57"/>
        <v>138.95298693042938</v>
      </c>
      <c r="T217" s="167">
        <f t="shared" si="58"/>
        <v>208.42948039564405</v>
      </c>
      <c r="U217" s="168">
        <f t="shared" si="62"/>
        <v>0.50050840055638857</v>
      </c>
      <c r="V217" s="169">
        <f t="shared" si="59"/>
        <v>11.116238954434349</v>
      </c>
      <c r="W217" s="170">
        <f t="shared" si="60"/>
        <v>104.32070586162295</v>
      </c>
      <c r="X217" s="170">
        <f t="shared" si="61"/>
        <v>115.43694481605731</v>
      </c>
    </row>
    <row r="218" spans="18:25" x14ac:dyDescent="0.15">
      <c r="R218" s="166">
        <v>5</v>
      </c>
      <c r="S218" s="1">
        <f t="shared" si="57"/>
        <v>138.95298693042938</v>
      </c>
      <c r="T218" s="167">
        <f t="shared" si="58"/>
        <v>208.42948039564405</v>
      </c>
      <c r="U218" s="168">
        <f t="shared" si="62"/>
        <v>0.50342803289296734</v>
      </c>
      <c r="V218" s="169">
        <f t="shared" si="59"/>
        <v>11.116238954434349</v>
      </c>
      <c r="W218" s="170">
        <f t="shared" si="60"/>
        <v>104.92924331248238</v>
      </c>
      <c r="X218" s="170">
        <f t="shared" si="61"/>
        <v>116.04548226691674</v>
      </c>
    </row>
    <row r="219" spans="18:25" x14ac:dyDescent="0.15">
      <c r="R219" s="166">
        <v>6</v>
      </c>
      <c r="S219" s="1">
        <f t="shared" si="57"/>
        <v>138.95298693042938</v>
      </c>
      <c r="T219" s="167">
        <f t="shared" si="58"/>
        <v>208.42948039564405</v>
      </c>
      <c r="U219" s="168">
        <f t="shared" si="62"/>
        <v>0.50636469641817605</v>
      </c>
      <c r="V219" s="169">
        <f t="shared" si="59"/>
        <v>11.116238954434349</v>
      </c>
      <c r="W219" s="170">
        <f t="shared" si="60"/>
        <v>105.54133056513848</v>
      </c>
      <c r="X219" s="170">
        <f t="shared" si="61"/>
        <v>116.65756951957283</v>
      </c>
    </row>
    <row r="220" spans="18:25" x14ac:dyDescent="0.15">
      <c r="R220" s="166">
        <v>7</v>
      </c>
      <c r="S220" s="1">
        <f t="shared" si="57"/>
        <v>138.95298693042938</v>
      </c>
      <c r="T220" s="167">
        <f t="shared" si="58"/>
        <v>208.42948039564405</v>
      </c>
      <c r="U220" s="168">
        <f t="shared" si="62"/>
        <v>0.50931849048061517</v>
      </c>
      <c r="V220" s="169">
        <f t="shared" si="59"/>
        <v>11.116238954434349</v>
      </c>
      <c r="W220" s="170">
        <f t="shared" si="60"/>
        <v>106.1569883267684</v>
      </c>
      <c r="X220" s="170">
        <f t="shared" si="61"/>
        <v>117.27322728120275</v>
      </c>
    </row>
    <row r="221" spans="18:25" x14ac:dyDescent="0.15">
      <c r="R221" s="166">
        <v>8</v>
      </c>
      <c r="S221" s="1">
        <f t="shared" si="57"/>
        <v>138.95298693042938</v>
      </c>
      <c r="T221" s="167">
        <f t="shared" si="58"/>
        <v>208.42948039564405</v>
      </c>
      <c r="U221" s="168">
        <f t="shared" si="62"/>
        <v>0.51228951500841857</v>
      </c>
      <c r="V221" s="169">
        <f t="shared" si="59"/>
        <v>11.116238954434349</v>
      </c>
      <c r="W221" s="170">
        <f t="shared" si="60"/>
        <v>106.77623742534118</v>
      </c>
      <c r="X221" s="170">
        <f t="shared" si="61"/>
        <v>117.89247637977553</v>
      </c>
    </row>
    <row r="222" spans="18:25" x14ac:dyDescent="0.15">
      <c r="R222" s="166">
        <v>9</v>
      </c>
      <c r="S222" s="1">
        <f t="shared" si="57"/>
        <v>138.95298693042938</v>
      </c>
      <c r="T222" s="167">
        <f t="shared" si="58"/>
        <v>208.42948039564405</v>
      </c>
      <c r="U222" s="168">
        <f t="shared" si="62"/>
        <v>0.51527787051263418</v>
      </c>
      <c r="V222" s="169">
        <f t="shared" si="59"/>
        <v>11.116238954434349</v>
      </c>
      <c r="W222" s="170">
        <f t="shared" si="60"/>
        <v>107.3990988103223</v>
      </c>
      <c r="X222" s="170">
        <f t="shared" si="61"/>
        <v>118.51533776475665</v>
      </c>
    </row>
    <row r="223" spans="18:25" x14ac:dyDescent="0.15">
      <c r="R223" s="166">
        <v>10</v>
      </c>
      <c r="S223" s="1">
        <f t="shared" si="57"/>
        <v>138.95298693042938</v>
      </c>
      <c r="T223" s="167">
        <f t="shared" si="58"/>
        <v>208.42948039564405</v>
      </c>
      <c r="U223" s="168">
        <f t="shared" si="62"/>
        <v>0.51828365809062438</v>
      </c>
      <c r="V223" s="169">
        <f t="shared" si="59"/>
        <v>11.116238954434349</v>
      </c>
      <c r="W223" s="170">
        <f t="shared" si="60"/>
        <v>108.02559355338248</v>
      </c>
      <c r="X223" s="170">
        <f t="shared" si="61"/>
        <v>119.14183250781683</v>
      </c>
    </row>
    <row r="224" spans="18:25" x14ac:dyDescent="0.15">
      <c r="R224" s="166">
        <v>11</v>
      </c>
      <c r="S224" s="1">
        <f t="shared" si="57"/>
        <v>138.95298693042938</v>
      </c>
      <c r="T224" s="167">
        <f t="shared" si="58"/>
        <v>208.42948039564405</v>
      </c>
      <c r="U224" s="168">
        <f t="shared" si="62"/>
        <v>0.52130697942948612</v>
      </c>
      <c r="V224" s="169">
        <f t="shared" si="59"/>
        <v>11.116238954434349</v>
      </c>
      <c r="W224" s="170">
        <f t="shared" si="60"/>
        <v>108.6557428491105</v>
      </c>
      <c r="X224" s="170">
        <f t="shared" si="61"/>
        <v>119.77198180354485</v>
      </c>
    </row>
    <row r="225" spans="18:25" x14ac:dyDescent="0.15">
      <c r="R225" s="166">
        <v>12</v>
      </c>
      <c r="S225" s="1">
        <f t="shared" si="57"/>
        <v>138.95298693042938</v>
      </c>
      <c r="T225" s="167">
        <f t="shared" si="58"/>
        <v>208.42948039564405</v>
      </c>
      <c r="U225" s="168">
        <f t="shared" si="62"/>
        <v>0.52434793680949121</v>
      </c>
      <c r="V225" s="169">
        <f t="shared" si="59"/>
        <v>11.116238954434349</v>
      </c>
      <c r="W225" s="170">
        <f t="shared" si="60"/>
        <v>109.28956801573025</v>
      </c>
      <c r="X225" s="170">
        <f t="shared" si="61"/>
        <v>120.4058069701646</v>
      </c>
    </row>
    <row r="226" spans="18:25" ht="16" x14ac:dyDescent="0.3">
      <c r="S226" s="118">
        <f>IF($C$17&gt;=S211,SUM(S214:S225),"")</f>
        <v>1667.4358431651528</v>
      </c>
      <c r="T226" s="119">
        <f>IF($C$17&gt;=S211,SUM(T214:T225),"")</f>
        <v>2501.1537647477285</v>
      </c>
      <c r="U226" s="163">
        <f>IF(Y227="",0,AVERAGE(U214:U225))</f>
        <v>0.50794181846517006</v>
      </c>
      <c r="V226" s="120">
        <f>IF($C$17&gt;=S211,SUM(V214:V225),"")</f>
        <v>133.39486745321219</v>
      </c>
      <c r="W226" s="121">
        <f>IF($C$17&gt;=S211,SUM(W214:W225),"")</f>
        <v>1270.4405915269679</v>
      </c>
      <c r="X226" s="121">
        <f>IF($C$17&gt;=S211,SUM(X214:X225),"")</f>
        <v>1403.8354589801797</v>
      </c>
    </row>
    <row r="227" spans="18:25" x14ac:dyDescent="0.15">
      <c r="W227" s="156" t="s">
        <v>53</v>
      </c>
      <c r="X227" s="117">
        <f>IF(AND($D$38="Yes",$D$40+1=S211,$C$17&gt;=S211),$B$40,0)</f>
        <v>0</v>
      </c>
      <c r="Y227" s="142">
        <f>IF(X226="","",IF($D$38="No",X226,IF($D$38="Yes",X226-X227,X226)))</f>
        <v>1403.8354589801797</v>
      </c>
    </row>
    <row r="228" spans="18:25" ht="14" thickBot="1" x14ac:dyDescent="0.2"/>
    <row r="229" spans="18:25" ht="17" thickBot="1" x14ac:dyDescent="0.25">
      <c r="R229" s="126" t="s">
        <v>48</v>
      </c>
      <c r="S229" s="127">
        <v>10</v>
      </c>
      <c r="T229" s="154" t="s">
        <v>66</v>
      </c>
      <c r="U229" s="143">
        <f>U211-($C$36*U211)</f>
        <v>346.34031992409518</v>
      </c>
      <c r="V229" s="155" t="s">
        <v>68</v>
      </c>
      <c r="W229" s="19">
        <f>ROUND($C$25/12,15)</f>
        <v>5.8333333333329997E-3</v>
      </c>
      <c r="X229" s="161">
        <f>IF(X244="",0,(U229*12-(U229*12)*$C$36)/POWER(1+0,S229))</f>
        <v>4143.615587571875</v>
      </c>
    </row>
    <row r="230" spans="18:25" x14ac:dyDescent="0.15">
      <c r="U230" s="182" t="s">
        <v>76</v>
      </c>
      <c r="V230" s="166">
        <f>IF(S229&lt;=$C$31,$C$29,IF(AND(S229&gt;$C$31,$B$34="Yes"),AVERAGE(U232:U243),$D$34))</f>
        <v>0.08</v>
      </c>
    </row>
    <row r="231" spans="18:25" x14ac:dyDescent="0.15">
      <c r="R231" s="122" t="s">
        <v>70</v>
      </c>
      <c r="S231" s="124">
        <f>$C$24</f>
        <v>0</v>
      </c>
      <c r="T231" s="125">
        <f>100%-$S$87</f>
        <v>1</v>
      </c>
      <c r="U231" s="112" t="s">
        <v>72</v>
      </c>
      <c r="V231" s="115" t="s">
        <v>71</v>
      </c>
      <c r="W231" s="115" t="s">
        <v>67</v>
      </c>
      <c r="X231" s="116" t="s">
        <v>69</v>
      </c>
    </row>
    <row r="232" spans="18:25" x14ac:dyDescent="0.15">
      <c r="R232" s="166">
        <v>1</v>
      </c>
      <c r="S232" s="1">
        <f>$U$229*$C$27</f>
        <v>138.53612796963807</v>
      </c>
      <c r="T232" s="167">
        <f>$U$229*(100%-$C$27)</f>
        <v>207.80419195445711</v>
      </c>
      <c r="U232" s="168">
        <f>U225*(1+$W$229)</f>
        <v>0.52740663310754632</v>
      </c>
      <c r="V232" s="169">
        <f>S232*$V$68</f>
        <v>11.082890237571046</v>
      </c>
      <c r="W232" s="170">
        <f>T232*U232</f>
        <v>109.5973092243345</v>
      </c>
      <c r="X232" s="170">
        <f t="shared" ref="X232:X243" si="63">W232+V232</f>
        <v>120.68019946190554</v>
      </c>
    </row>
    <row r="233" spans="18:25" x14ac:dyDescent="0.15">
      <c r="R233" s="166">
        <v>2</v>
      </c>
      <c r="S233" s="1">
        <f t="shared" ref="S233:S243" si="64">$U$229*$C$27</f>
        <v>138.53612796963807</v>
      </c>
      <c r="T233" s="167">
        <f t="shared" ref="T233:T243" si="65">$U$229*(100%-$C$27)</f>
        <v>207.80419195445711</v>
      </c>
      <c r="U233" s="168">
        <f>U232*(1+$W$85)</f>
        <v>0.5304831718006735</v>
      </c>
      <c r="V233" s="169">
        <f t="shared" ref="V233:V243" si="66">S233*$V$68</f>
        <v>11.082890237571046</v>
      </c>
      <c r="W233" s="170">
        <f t="shared" ref="W233:W243" si="67">T233*U233</f>
        <v>110.23662686147641</v>
      </c>
      <c r="X233" s="170">
        <f t="shared" si="63"/>
        <v>121.31951709904746</v>
      </c>
    </row>
    <row r="234" spans="18:25" x14ac:dyDescent="0.15">
      <c r="R234" s="166">
        <v>3</v>
      </c>
      <c r="S234" s="1">
        <f t="shared" si="64"/>
        <v>138.53612796963807</v>
      </c>
      <c r="T234" s="167">
        <f t="shared" si="65"/>
        <v>207.80419195445711</v>
      </c>
      <c r="U234" s="168">
        <f t="shared" ref="U234:U243" si="68">U233*(1+$W$85)</f>
        <v>0.53357765696951054</v>
      </c>
      <c r="V234" s="169">
        <f t="shared" si="66"/>
        <v>11.082890237571046</v>
      </c>
      <c r="W234" s="170">
        <f t="shared" si="67"/>
        <v>110.87967385150164</v>
      </c>
      <c r="X234" s="170">
        <f t="shared" si="63"/>
        <v>121.96256408907269</v>
      </c>
    </row>
    <row r="235" spans="18:25" x14ac:dyDescent="0.15">
      <c r="R235" s="166">
        <v>4</v>
      </c>
      <c r="S235" s="1">
        <f t="shared" si="64"/>
        <v>138.53612796963807</v>
      </c>
      <c r="T235" s="167">
        <f t="shared" si="65"/>
        <v>207.80419195445711</v>
      </c>
      <c r="U235" s="168">
        <f t="shared" si="68"/>
        <v>0.53669019330183243</v>
      </c>
      <c r="V235" s="169">
        <f t="shared" si="66"/>
        <v>11.082890237571046</v>
      </c>
      <c r="W235" s="170">
        <f t="shared" si="67"/>
        <v>111.52647194896868</v>
      </c>
      <c r="X235" s="170">
        <f t="shared" si="63"/>
        <v>122.60936218653973</v>
      </c>
    </row>
    <row r="236" spans="18:25" x14ac:dyDescent="0.15">
      <c r="R236" s="166">
        <v>5</v>
      </c>
      <c r="S236" s="1">
        <f t="shared" si="64"/>
        <v>138.53612796963807</v>
      </c>
      <c r="T236" s="167">
        <f t="shared" si="65"/>
        <v>207.80419195445711</v>
      </c>
      <c r="U236" s="168">
        <f t="shared" si="68"/>
        <v>0.53982088609609291</v>
      </c>
      <c r="V236" s="169">
        <f t="shared" si="66"/>
        <v>11.082890237571046</v>
      </c>
      <c r="W236" s="170">
        <f t="shared" si="67"/>
        <v>112.17704303533762</v>
      </c>
      <c r="X236" s="170">
        <f t="shared" si="63"/>
        <v>123.25993327290867</v>
      </c>
    </row>
    <row r="237" spans="18:25" x14ac:dyDescent="0.15">
      <c r="R237" s="166">
        <v>6</v>
      </c>
      <c r="S237" s="1">
        <f t="shared" si="64"/>
        <v>138.53612796963807</v>
      </c>
      <c r="T237" s="167">
        <f t="shared" si="65"/>
        <v>207.80419195445711</v>
      </c>
      <c r="U237" s="168">
        <f t="shared" si="68"/>
        <v>0.5429698412649866</v>
      </c>
      <c r="V237" s="169">
        <f t="shared" si="66"/>
        <v>11.082890237571046</v>
      </c>
      <c r="W237" s="170">
        <f t="shared" si="67"/>
        <v>112.83140911971039</v>
      </c>
      <c r="X237" s="170">
        <f t="shared" si="63"/>
        <v>123.91429935728144</v>
      </c>
    </row>
    <row r="238" spans="18:25" x14ac:dyDescent="0.15">
      <c r="R238" s="166">
        <v>7</v>
      </c>
      <c r="S238" s="1">
        <f t="shared" si="64"/>
        <v>138.53612796963807</v>
      </c>
      <c r="T238" s="167">
        <f t="shared" si="65"/>
        <v>207.80419195445711</v>
      </c>
      <c r="U238" s="168">
        <f t="shared" si="68"/>
        <v>0.54613716533903212</v>
      </c>
      <c r="V238" s="169">
        <f t="shared" si="66"/>
        <v>11.082890237571046</v>
      </c>
      <c r="W238" s="170">
        <f t="shared" si="67"/>
        <v>113.48959233957531</v>
      </c>
      <c r="X238" s="170">
        <f t="shared" si="63"/>
        <v>124.57248257714636</v>
      </c>
    </row>
    <row r="239" spans="18:25" x14ac:dyDescent="0.15">
      <c r="R239" s="166">
        <v>8</v>
      </c>
      <c r="S239" s="1">
        <f t="shared" si="64"/>
        <v>138.53612796963807</v>
      </c>
      <c r="T239" s="167">
        <f t="shared" si="65"/>
        <v>207.80419195445711</v>
      </c>
      <c r="U239" s="168">
        <f t="shared" si="68"/>
        <v>0.54932296547017623</v>
      </c>
      <c r="V239" s="169">
        <f t="shared" si="66"/>
        <v>11.082890237571046</v>
      </c>
      <c r="W239" s="170">
        <f t="shared" si="67"/>
        <v>114.15161496155612</v>
      </c>
      <c r="X239" s="170">
        <f t="shared" si="63"/>
        <v>125.23450519912717</v>
      </c>
    </row>
    <row r="240" spans="18:25" x14ac:dyDescent="0.15">
      <c r="R240" s="166">
        <v>9</v>
      </c>
      <c r="S240" s="1">
        <f t="shared" si="64"/>
        <v>138.53612796963807</v>
      </c>
      <c r="T240" s="167">
        <f t="shared" si="65"/>
        <v>207.80419195445711</v>
      </c>
      <c r="U240" s="168">
        <f t="shared" si="68"/>
        <v>0.5525273494354187</v>
      </c>
      <c r="V240" s="169">
        <f t="shared" si="66"/>
        <v>11.082890237571046</v>
      </c>
      <c r="W240" s="170">
        <f t="shared" si="67"/>
        <v>114.81749938216515</v>
      </c>
      <c r="X240" s="170">
        <f t="shared" si="63"/>
        <v>125.9003896197362</v>
      </c>
    </row>
    <row r="241" spans="18:25" x14ac:dyDescent="0.15">
      <c r="R241" s="166">
        <v>10</v>
      </c>
      <c r="S241" s="1">
        <f t="shared" si="64"/>
        <v>138.53612796963807</v>
      </c>
      <c r="T241" s="167">
        <f t="shared" si="65"/>
        <v>207.80419195445711</v>
      </c>
      <c r="U241" s="168">
        <f t="shared" si="68"/>
        <v>0.5557504256404584</v>
      </c>
      <c r="V241" s="169">
        <f t="shared" si="66"/>
        <v>11.082890237571046</v>
      </c>
      <c r="W241" s="170">
        <f t="shared" si="67"/>
        <v>115.48726812856106</v>
      </c>
      <c r="X241" s="170">
        <f t="shared" si="63"/>
        <v>126.57015836613211</v>
      </c>
    </row>
    <row r="242" spans="18:25" x14ac:dyDescent="0.15">
      <c r="R242" s="166">
        <v>11</v>
      </c>
      <c r="S242" s="1">
        <f t="shared" si="64"/>
        <v>138.53612796963807</v>
      </c>
      <c r="T242" s="167">
        <f t="shared" si="65"/>
        <v>207.80419195445711</v>
      </c>
      <c r="U242" s="168">
        <f t="shared" si="68"/>
        <v>0.55899230312336079</v>
      </c>
      <c r="V242" s="169">
        <f t="shared" si="66"/>
        <v>11.082890237571046</v>
      </c>
      <c r="W242" s="170">
        <f t="shared" si="67"/>
        <v>116.16094385931095</v>
      </c>
      <c r="X242" s="170">
        <f t="shared" si="63"/>
        <v>127.243834096882</v>
      </c>
    </row>
    <row r="243" spans="18:25" x14ac:dyDescent="0.15">
      <c r="R243" s="166">
        <v>12</v>
      </c>
      <c r="S243" s="1">
        <f t="shared" si="64"/>
        <v>138.53612796963807</v>
      </c>
      <c r="T243" s="167">
        <f t="shared" si="65"/>
        <v>207.80419195445711</v>
      </c>
      <c r="U243" s="168">
        <f t="shared" si="68"/>
        <v>0.56225309155824688</v>
      </c>
      <c r="V243" s="169">
        <f t="shared" si="66"/>
        <v>11.082890237571046</v>
      </c>
      <c r="W243" s="170">
        <f t="shared" si="67"/>
        <v>116.83854936515688</v>
      </c>
      <c r="X243" s="170">
        <f t="shared" si="63"/>
        <v>127.92143960272793</v>
      </c>
    </row>
    <row r="244" spans="18:25" ht="16" x14ac:dyDescent="0.3">
      <c r="S244" s="118">
        <f>IF($C$17&gt;=S229,SUM(S232:S243),"")</f>
        <v>1662.4335356356569</v>
      </c>
      <c r="T244" s="119">
        <f>IF($C$17&gt;=S229,SUM(T232:T243),"")</f>
        <v>2493.6503034534853</v>
      </c>
      <c r="U244" s="163">
        <f>IF(Y245="",0,AVERAGE(U232:U243))</f>
        <v>0.54466097359227794</v>
      </c>
      <c r="V244" s="120">
        <f>IF($C$17&gt;=S229,SUM(V232:V243),"")</f>
        <v>132.99468285085257</v>
      </c>
      <c r="W244" s="121">
        <f>IF($C$17&gt;=S229,SUM(W232:W243),"")</f>
        <v>1358.1940020776547</v>
      </c>
      <c r="X244" s="121">
        <f>IF($C$17&gt;=S229,SUM(X232:X243),"")</f>
        <v>1491.1886849285074</v>
      </c>
    </row>
    <row r="245" spans="18:25" x14ac:dyDescent="0.15">
      <c r="W245" s="156" t="s">
        <v>53</v>
      </c>
      <c r="X245" s="117">
        <f>IF(AND($D$38="Yes",$D$40+1=S229,$C$17&gt;=S229),$B$40,0)</f>
        <v>0</v>
      </c>
      <c r="Y245" s="142">
        <f>IF(X244="","",IF($D$38="No",X244,IF($D$38="Yes",X244-X245,X244)))</f>
        <v>1491.1886849285074</v>
      </c>
    </row>
    <row r="246" spans="18:25" ht="14" thickBot="1" x14ac:dyDescent="0.2"/>
    <row r="247" spans="18:25" ht="17" thickBot="1" x14ac:dyDescent="0.25">
      <c r="R247" s="126" t="s">
        <v>48</v>
      </c>
      <c r="S247" s="127">
        <v>11</v>
      </c>
      <c r="T247" s="154" t="s">
        <v>66</v>
      </c>
      <c r="U247" s="143">
        <f>U229-($C$36*U229)</f>
        <v>345.30129896432288</v>
      </c>
      <c r="V247" s="155" t="s">
        <v>68</v>
      </c>
      <c r="W247" s="19">
        <f>ROUND($C$25/12,15)</f>
        <v>5.8333333333329997E-3</v>
      </c>
      <c r="X247" s="161">
        <f>IF(X262="",0,(U247*12-(U247*12)*$C$36)/POWER(1+0,S247))</f>
        <v>4131.1847408091589</v>
      </c>
    </row>
    <row r="248" spans="18:25" x14ac:dyDescent="0.15">
      <c r="U248" s="182" t="s">
        <v>76</v>
      </c>
      <c r="V248" s="166">
        <f>IF(S247&lt;=$C$31,$C$29,IF(AND(S247&gt;$C$31,$B$34="Yes"),AVERAGE(U250:U261),$D$34))</f>
        <v>0.08</v>
      </c>
    </row>
    <row r="249" spans="18:25" x14ac:dyDescent="0.15">
      <c r="R249" s="122" t="s">
        <v>70</v>
      </c>
      <c r="S249" s="124">
        <f>$C$24</f>
        <v>0</v>
      </c>
      <c r="T249" s="125">
        <f>100%-$S$87</f>
        <v>1</v>
      </c>
      <c r="U249" s="112" t="s">
        <v>72</v>
      </c>
      <c r="V249" s="115" t="s">
        <v>71</v>
      </c>
      <c r="W249" s="115" t="s">
        <v>67</v>
      </c>
      <c r="X249" s="116" t="s">
        <v>69</v>
      </c>
    </row>
    <row r="250" spans="18:25" x14ac:dyDescent="0.15">
      <c r="R250" s="166">
        <v>1</v>
      </c>
      <c r="S250" s="1">
        <f>$U$247*$C$27</f>
        <v>138.12051958572917</v>
      </c>
      <c r="T250" s="167">
        <f>$U$247*(100%-$C$27)</f>
        <v>207.18077937859371</v>
      </c>
      <c r="U250" s="168">
        <f>U243*(1+W247)</f>
        <v>0.56553290125900313</v>
      </c>
      <c r="V250" s="169">
        <f>S250*$V$68</f>
        <v>11.049641566858334</v>
      </c>
      <c r="W250" s="170">
        <f t="shared" ref="W250:W261" si="69">T250*U250</f>
        <v>117.16754724707755</v>
      </c>
      <c r="X250" s="170">
        <f t="shared" ref="X250:X261" si="70">W250+V250</f>
        <v>128.21718881393588</v>
      </c>
    </row>
    <row r="251" spans="18:25" x14ac:dyDescent="0.15">
      <c r="R251" s="166">
        <v>2</v>
      </c>
      <c r="S251" s="1">
        <f t="shared" ref="S251:S261" si="71">$U$247*$C$27</f>
        <v>138.12051958572917</v>
      </c>
      <c r="T251" s="167">
        <f t="shared" ref="T251:T261" si="72">$U$247*(100%-$C$27)</f>
        <v>207.18077937859371</v>
      </c>
      <c r="U251" s="168">
        <f>U250*(1+$W$247)</f>
        <v>0.56883184318301372</v>
      </c>
      <c r="V251" s="169">
        <f t="shared" ref="V251:V261" si="73">S251*$V$68</f>
        <v>11.049641566858334</v>
      </c>
      <c r="W251" s="170">
        <f t="shared" si="69"/>
        <v>117.85102460601878</v>
      </c>
      <c r="X251" s="170">
        <f t="shared" si="70"/>
        <v>128.90066617287712</v>
      </c>
    </row>
    <row r="252" spans="18:25" x14ac:dyDescent="0.15">
      <c r="R252" s="166">
        <v>3</v>
      </c>
      <c r="S252" s="1">
        <f t="shared" si="71"/>
        <v>138.12051958572917</v>
      </c>
      <c r="T252" s="167">
        <f t="shared" si="72"/>
        <v>207.18077937859371</v>
      </c>
      <c r="U252" s="168">
        <f t="shared" ref="U252:U261" si="74">U251*(1+$W$247)</f>
        <v>0.5721500289349144</v>
      </c>
      <c r="V252" s="169">
        <f t="shared" si="73"/>
        <v>11.049641566858334</v>
      </c>
      <c r="W252" s="170">
        <f t="shared" si="69"/>
        <v>118.53848891622052</v>
      </c>
      <c r="X252" s="170">
        <f t="shared" si="70"/>
        <v>129.58813048307886</v>
      </c>
    </row>
    <row r="253" spans="18:25" x14ac:dyDescent="0.15">
      <c r="R253" s="166">
        <v>4</v>
      </c>
      <c r="S253" s="1">
        <f t="shared" si="71"/>
        <v>138.12051958572917</v>
      </c>
      <c r="T253" s="167">
        <f t="shared" si="72"/>
        <v>207.18077937859371</v>
      </c>
      <c r="U253" s="168">
        <f t="shared" si="74"/>
        <v>0.57548757077036783</v>
      </c>
      <c r="V253" s="169">
        <f t="shared" si="73"/>
        <v>11.049641566858334</v>
      </c>
      <c r="W253" s="170">
        <f t="shared" si="69"/>
        <v>119.22996343489841</v>
      </c>
      <c r="X253" s="170">
        <f t="shared" si="70"/>
        <v>130.27960500175675</v>
      </c>
    </row>
    <row r="254" spans="18:25" x14ac:dyDescent="0.15">
      <c r="R254" s="166">
        <v>5</v>
      </c>
      <c r="S254" s="1">
        <f t="shared" si="71"/>
        <v>138.12051958572917</v>
      </c>
      <c r="T254" s="167">
        <f t="shared" si="72"/>
        <v>207.18077937859371</v>
      </c>
      <c r="U254" s="168">
        <f t="shared" si="74"/>
        <v>0.57884458159986141</v>
      </c>
      <c r="V254" s="169">
        <f t="shared" si="73"/>
        <v>11.049641566858334</v>
      </c>
      <c r="W254" s="170">
        <f t="shared" si="69"/>
        <v>119.92547155493527</v>
      </c>
      <c r="X254" s="170">
        <f t="shared" si="70"/>
        <v>130.97511312179361</v>
      </c>
    </row>
    <row r="255" spans="18:25" x14ac:dyDescent="0.15">
      <c r="R255" s="166">
        <v>6</v>
      </c>
      <c r="S255" s="1">
        <f t="shared" si="71"/>
        <v>138.12051958572917</v>
      </c>
      <c r="T255" s="167">
        <f t="shared" si="72"/>
        <v>207.18077937859371</v>
      </c>
      <c r="U255" s="168">
        <f t="shared" si="74"/>
        <v>0.58222117499252701</v>
      </c>
      <c r="V255" s="169">
        <f t="shared" si="73"/>
        <v>11.049641566858334</v>
      </c>
      <c r="W255" s="170">
        <f t="shared" si="69"/>
        <v>120.62503680567234</v>
      </c>
      <c r="X255" s="170">
        <f t="shared" si="70"/>
        <v>131.67467837253068</v>
      </c>
    </row>
    <row r="256" spans="18:25" x14ac:dyDescent="0.15">
      <c r="R256" s="166">
        <v>7</v>
      </c>
      <c r="S256" s="1">
        <f t="shared" si="71"/>
        <v>138.12051958572917</v>
      </c>
      <c r="T256" s="167">
        <f t="shared" si="72"/>
        <v>207.18077937859371</v>
      </c>
      <c r="U256" s="168">
        <f t="shared" si="74"/>
        <v>0.58561746517998314</v>
      </c>
      <c r="V256" s="169">
        <f t="shared" si="73"/>
        <v>11.049641566858334</v>
      </c>
      <c r="W256" s="170">
        <f t="shared" si="69"/>
        <v>121.32868285370537</v>
      </c>
      <c r="X256" s="170">
        <f t="shared" si="70"/>
        <v>132.3783244205637</v>
      </c>
    </row>
    <row r="257" spans="18:25" x14ac:dyDescent="0.15">
      <c r="R257" s="166">
        <v>8</v>
      </c>
      <c r="S257" s="1">
        <f t="shared" si="71"/>
        <v>138.12051958572917</v>
      </c>
      <c r="T257" s="167">
        <f t="shared" si="72"/>
        <v>207.18077937859371</v>
      </c>
      <c r="U257" s="168">
        <f t="shared" si="74"/>
        <v>0.58903356706019949</v>
      </c>
      <c r="V257" s="169">
        <f t="shared" si="73"/>
        <v>11.049641566858334</v>
      </c>
      <c r="W257" s="170">
        <f t="shared" si="69"/>
        <v>122.03643350368527</v>
      </c>
      <c r="X257" s="170">
        <f t="shared" si="70"/>
        <v>133.08607507054361</v>
      </c>
    </row>
    <row r="258" spans="18:25" x14ac:dyDescent="0.15">
      <c r="R258" s="166">
        <v>9</v>
      </c>
      <c r="S258" s="1">
        <f t="shared" si="71"/>
        <v>138.12051958572917</v>
      </c>
      <c r="T258" s="167">
        <f t="shared" si="72"/>
        <v>207.18077937859371</v>
      </c>
      <c r="U258" s="168">
        <f t="shared" si="74"/>
        <v>0.59246959620138373</v>
      </c>
      <c r="V258" s="169">
        <f t="shared" si="73"/>
        <v>11.049641566858334</v>
      </c>
      <c r="W258" s="170">
        <f t="shared" si="69"/>
        <v>122.74831269912339</v>
      </c>
      <c r="X258" s="170">
        <f t="shared" si="70"/>
        <v>133.79795426598173</v>
      </c>
    </row>
    <row r="259" spans="18:25" x14ac:dyDescent="0.15">
      <c r="R259" s="166">
        <v>10</v>
      </c>
      <c r="S259" s="1">
        <f t="shared" si="71"/>
        <v>138.12051958572917</v>
      </c>
      <c r="T259" s="167">
        <f t="shared" si="72"/>
        <v>207.18077937859371</v>
      </c>
      <c r="U259" s="168">
        <f t="shared" si="74"/>
        <v>0.5959256688458916</v>
      </c>
      <c r="V259" s="169">
        <f t="shared" si="73"/>
        <v>11.049641566858334</v>
      </c>
      <c r="W259" s="170">
        <f t="shared" si="69"/>
        <v>123.46434452320156</v>
      </c>
      <c r="X259" s="170">
        <f t="shared" si="70"/>
        <v>134.51398609005989</v>
      </c>
    </row>
    <row r="260" spans="18:25" x14ac:dyDescent="0.15">
      <c r="R260" s="166">
        <v>11</v>
      </c>
      <c r="S260" s="1">
        <f t="shared" si="71"/>
        <v>138.12051958572917</v>
      </c>
      <c r="T260" s="167">
        <f t="shared" si="72"/>
        <v>207.18077937859371</v>
      </c>
      <c r="U260" s="168">
        <f t="shared" si="74"/>
        <v>0.5994019019141591</v>
      </c>
      <c r="V260" s="169">
        <f t="shared" si="73"/>
        <v>11.049641566858334</v>
      </c>
      <c r="W260" s="170">
        <f t="shared" si="69"/>
        <v>124.18455319958686</v>
      </c>
      <c r="X260" s="170">
        <f t="shared" si="70"/>
        <v>135.2341947664452</v>
      </c>
    </row>
    <row r="261" spans="18:25" x14ac:dyDescent="0.15">
      <c r="R261" s="166">
        <v>12</v>
      </c>
      <c r="S261" s="1">
        <f t="shared" si="71"/>
        <v>138.12051958572917</v>
      </c>
      <c r="T261" s="167">
        <f t="shared" si="72"/>
        <v>207.18077937859371</v>
      </c>
      <c r="U261" s="168">
        <f t="shared" si="74"/>
        <v>0.6028984130086581</v>
      </c>
      <c r="V261" s="169">
        <f t="shared" si="73"/>
        <v>11.049641566858334</v>
      </c>
      <c r="W261" s="170">
        <f t="shared" si="69"/>
        <v>124.90896309325106</v>
      </c>
      <c r="X261" s="170">
        <f t="shared" si="70"/>
        <v>135.95860466010939</v>
      </c>
    </row>
    <row r="262" spans="18:25" ht="16" x14ac:dyDescent="0.3">
      <c r="S262" s="118">
        <f>IF($C$17&gt;=S247,SUM(S250:S261),"")</f>
        <v>1657.4462350287502</v>
      </c>
      <c r="T262" s="119">
        <f>IF($C$17&gt;=S247,SUM(T250:T261),"")</f>
        <v>2486.1693525431251</v>
      </c>
      <c r="U262" s="163">
        <f>IF(Y263="",0,AVERAGE(U250:U261))</f>
        <v>0.58403455941249682</v>
      </c>
      <c r="V262" s="120">
        <f>IF($C$17&gt;=S247,SUM(V250:V261),"")</f>
        <v>132.59569880229998</v>
      </c>
      <c r="W262" s="121">
        <f>IF($C$17&gt;=S247,SUM(W250:W261),"")</f>
        <v>1452.0088224373765</v>
      </c>
      <c r="X262" s="121">
        <f>IF($C$17&gt;=S247,SUM(X250:X261),"")</f>
        <v>1584.6045212396764</v>
      </c>
    </row>
    <row r="263" spans="18:25" x14ac:dyDescent="0.15">
      <c r="W263" s="156" t="s">
        <v>53</v>
      </c>
      <c r="X263" s="117">
        <f>IF(AND($D$38="Yes",$D$40+1=S247,$C$17&gt;=S247),$B$40,0)</f>
        <v>0</v>
      </c>
      <c r="Y263" s="142">
        <f>IF(X262="","",IF($D$38="No",X262,IF($D$38="Yes",X262-X263,X262)))</f>
        <v>1584.6045212396764</v>
      </c>
    </row>
    <row r="264" spans="18:25" ht="14" thickBot="1" x14ac:dyDescent="0.2"/>
    <row r="265" spans="18:25" ht="17" thickBot="1" x14ac:dyDescent="0.25">
      <c r="R265" s="126" t="s">
        <v>48</v>
      </c>
      <c r="S265" s="127">
        <v>12</v>
      </c>
      <c r="T265" s="154" t="s">
        <v>66</v>
      </c>
      <c r="U265" s="143">
        <f>U247-($C$36*U247)</f>
        <v>344.26539506742989</v>
      </c>
      <c r="V265" s="155" t="s">
        <v>68</v>
      </c>
      <c r="W265" s="19">
        <f>ROUND($C$25/12,15)</f>
        <v>5.8333333333329997E-3</v>
      </c>
      <c r="X265" s="161">
        <f>IF(X280="",0,(U265*12-(U265*12)*$C$36)/POWER(1+0,S265))</f>
        <v>4118.7911865867318</v>
      </c>
    </row>
    <row r="266" spans="18:25" x14ac:dyDescent="0.15">
      <c r="U266" s="182" t="s">
        <v>76</v>
      </c>
      <c r="V266" s="166">
        <f>IF(S265&lt;=$C$31,$C$29,IF(AND(S265&gt;$C$31,$B$34="Yes"),AVERAGE(U268:U279),$D$34))</f>
        <v>0.08</v>
      </c>
    </row>
    <row r="267" spans="18:25" x14ac:dyDescent="0.15">
      <c r="R267" s="122" t="s">
        <v>70</v>
      </c>
      <c r="S267" s="124">
        <f>$C$24</f>
        <v>0</v>
      </c>
      <c r="T267" s="125">
        <f>100%-$S$87</f>
        <v>1</v>
      </c>
      <c r="U267" s="112" t="s">
        <v>72</v>
      </c>
      <c r="V267" s="115" t="s">
        <v>71</v>
      </c>
      <c r="W267" s="115" t="s">
        <v>67</v>
      </c>
      <c r="X267" s="116" t="s">
        <v>69</v>
      </c>
    </row>
    <row r="268" spans="18:25" x14ac:dyDescent="0.15">
      <c r="R268" s="166">
        <v>1</v>
      </c>
      <c r="S268" s="1">
        <f>$U$265*$C$27</f>
        <v>137.70615802697196</v>
      </c>
      <c r="T268" s="167">
        <f>$U$265*(100%-$C$27)</f>
        <v>206.55923704045793</v>
      </c>
      <c r="U268" s="168">
        <f>U261*(1+$W$265)</f>
        <v>0.60641532041787505</v>
      </c>
      <c r="V268" s="169">
        <f>S268*$V$68</f>
        <v>11.016492642157758</v>
      </c>
      <c r="W268" s="170">
        <f t="shared" ref="W268:W279" si="75">T268*U268</f>
        <v>125.2606859151611</v>
      </c>
      <c r="X268" s="170">
        <f t="shared" ref="X268:X279" si="76">W268+V268</f>
        <v>136.27717855731885</v>
      </c>
    </row>
    <row r="269" spans="18:25" x14ac:dyDescent="0.15">
      <c r="R269" s="166">
        <v>2</v>
      </c>
      <c r="S269" s="1">
        <f t="shared" ref="S269:S279" si="77">$U$265*$C$27</f>
        <v>137.70615802697196</v>
      </c>
      <c r="T269" s="167">
        <f t="shared" ref="T269:T279" si="78">$U$265*(100%-$C$27)</f>
        <v>206.55923704045793</v>
      </c>
      <c r="U269" s="168">
        <f>U268*(1+$W$265)</f>
        <v>0.60995274312031245</v>
      </c>
      <c r="V269" s="169">
        <f t="shared" ref="V269:V279" si="79">S269*$V$68</f>
        <v>11.016492642157758</v>
      </c>
      <c r="W269" s="170">
        <f t="shared" si="75"/>
        <v>125.99137324966617</v>
      </c>
      <c r="X269" s="170">
        <f t="shared" si="76"/>
        <v>137.00786589182394</v>
      </c>
    </row>
    <row r="270" spans="18:25" x14ac:dyDescent="0.15">
      <c r="R270" s="166">
        <v>3</v>
      </c>
      <c r="S270" s="1">
        <f t="shared" si="77"/>
        <v>137.70615802697196</v>
      </c>
      <c r="T270" s="167">
        <f t="shared" si="78"/>
        <v>206.55923704045793</v>
      </c>
      <c r="U270" s="168">
        <f t="shared" ref="U270:U279" si="80">U269*(1+$W$265)</f>
        <v>0.61351080078851405</v>
      </c>
      <c r="V270" s="169">
        <f t="shared" si="79"/>
        <v>11.016492642157758</v>
      </c>
      <c r="W270" s="170">
        <f t="shared" si="75"/>
        <v>126.72632292695585</v>
      </c>
      <c r="X270" s="170">
        <f t="shared" si="76"/>
        <v>137.74281556911359</v>
      </c>
    </row>
    <row r="271" spans="18:25" x14ac:dyDescent="0.15">
      <c r="R271" s="166">
        <v>4</v>
      </c>
      <c r="S271" s="1">
        <f t="shared" si="77"/>
        <v>137.70615802697196</v>
      </c>
      <c r="T271" s="167">
        <f t="shared" si="78"/>
        <v>206.55923704045793</v>
      </c>
      <c r="U271" s="168">
        <f t="shared" si="80"/>
        <v>0.61708961379311345</v>
      </c>
      <c r="V271" s="169">
        <f t="shared" si="79"/>
        <v>11.016492642157758</v>
      </c>
      <c r="W271" s="170">
        <f t="shared" si="75"/>
        <v>127.46555981069636</v>
      </c>
      <c r="X271" s="170">
        <f t="shared" si="76"/>
        <v>138.48205245285413</v>
      </c>
    </row>
    <row r="272" spans="18:25" x14ac:dyDescent="0.15">
      <c r="R272" s="166">
        <v>5</v>
      </c>
      <c r="S272" s="1">
        <f t="shared" si="77"/>
        <v>137.70615802697196</v>
      </c>
      <c r="T272" s="167">
        <f t="shared" si="78"/>
        <v>206.55923704045793</v>
      </c>
      <c r="U272" s="168">
        <f t="shared" si="80"/>
        <v>0.6206893032069063</v>
      </c>
      <c r="V272" s="169">
        <f t="shared" si="79"/>
        <v>11.016492642157758</v>
      </c>
      <c r="W272" s="170">
        <f t="shared" si="75"/>
        <v>128.20910890959203</v>
      </c>
      <c r="X272" s="170">
        <f t="shared" si="76"/>
        <v>139.22560155174978</v>
      </c>
    </row>
    <row r="273" spans="18:25" x14ac:dyDescent="0.15">
      <c r="R273" s="166">
        <v>6</v>
      </c>
      <c r="S273" s="1">
        <f t="shared" si="77"/>
        <v>137.70615802697196</v>
      </c>
      <c r="T273" s="167">
        <f t="shared" si="78"/>
        <v>206.55923704045793</v>
      </c>
      <c r="U273" s="168">
        <f t="shared" si="80"/>
        <v>0.62430999080894634</v>
      </c>
      <c r="V273" s="169">
        <f t="shared" si="79"/>
        <v>11.016492642157758</v>
      </c>
      <c r="W273" s="170">
        <f t="shared" si="75"/>
        <v>128.95699537823126</v>
      </c>
      <c r="X273" s="170">
        <f t="shared" si="76"/>
        <v>139.97348802038903</v>
      </c>
    </row>
    <row r="274" spans="18:25" x14ac:dyDescent="0.15">
      <c r="R274" s="166">
        <v>7</v>
      </c>
      <c r="S274" s="1">
        <f t="shared" si="77"/>
        <v>137.70615802697196</v>
      </c>
      <c r="T274" s="167">
        <f t="shared" si="78"/>
        <v>206.55923704045793</v>
      </c>
      <c r="U274" s="168">
        <f t="shared" si="80"/>
        <v>0.62795179908866494</v>
      </c>
      <c r="V274" s="169">
        <f t="shared" si="79"/>
        <v>11.016492642157758</v>
      </c>
      <c r="W274" s="170">
        <f t="shared" si="75"/>
        <v>129.70924451793755</v>
      </c>
      <c r="X274" s="170">
        <f t="shared" si="76"/>
        <v>140.72573716009532</v>
      </c>
    </row>
    <row r="275" spans="18:25" x14ac:dyDescent="0.15">
      <c r="R275" s="166">
        <v>8</v>
      </c>
      <c r="S275" s="1">
        <f t="shared" si="77"/>
        <v>137.70615802697196</v>
      </c>
      <c r="T275" s="167">
        <f t="shared" si="78"/>
        <v>206.55923704045793</v>
      </c>
      <c r="U275" s="168">
        <f t="shared" si="80"/>
        <v>0.63161485125001526</v>
      </c>
      <c r="V275" s="169">
        <f t="shared" si="79"/>
        <v>11.016492642157758</v>
      </c>
      <c r="W275" s="170">
        <f t="shared" si="75"/>
        <v>130.46588177762547</v>
      </c>
      <c r="X275" s="170">
        <f t="shared" si="76"/>
        <v>141.48237441978324</v>
      </c>
    </row>
    <row r="276" spans="18:25" x14ac:dyDescent="0.15">
      <c r="R276" s="166">
        <v>9</v>
      </c>
      <c r="S276" s="1">
        <f t="shared" si="77"/>
        <v>137.70615802697196</v>
      </c>
      <c r="T276" s="167">
        <f t="shared" si="78"/>
        <v>206.55923704045793</v>
      </c>
      <c r="U276" s="168">
        <f t="shared" si="80"/>
        <v>0.63529927121564012</v>
      </c>
      <c r="V276" s="169">
        <f t="shared" si="79"/>
        <v>11.016492642157758</v>
      </c>
      <c r="W276" s="170">
        <f t="shared" si="75"/>
        <v>131.22693275466159</v>
      </c>
      <c r="X276" s="170">
        <f t="shared" si="76"/>
        <v>142.24342539681936</v>
      </c>
    </row>
    <row r="277" spans="18:25" x14ac:dyDescent="0.15">
      <c r="R277" s="166">
        <v>10</v>
      </c>
      <c r="S277" s="1">
        <f t="shared" si="77"/>
        <v>137.70615802697196</v>
      </c>
      <c r="T277" s="167">
        <f t="shared" si="78"/>
        <v>206.55923704045793</v>
      </c>
      <c r="U277" s="168">
        <f t="shared" si="80"/>
        <v>0.6390051836310644</v>
      </c>
      <c r="V277" s="169">
        <f t="shared" si="79"/>
        <v>11.016492642157758</v>
      </c>
      <c r="W277" s="170">
        <f t="shared" si="75"/>
        <v>131.99242319573037</v>
      </c>
      <c r="X277" s="170">
        <f t="shared" si="76"/>
        <v>143.00891583788814</v>
      </c>
    </row>
    <row r="278" spans="18:25" x14ac:dyDescent="0.15">
      <c r="R278" s="166">
        <v>11</v>
      </c>
      <c r="S278" s="1">
        <f t="shared" si="77"/>
        <v>137.70615802697196</v>
      </c>
      <c r="T278" s="167">
        <f t="shared" si="78"/>
        <v>206.55923704045793</v>
      </c>
      <c r="U278" s="168">
        <f t="shared" si="80"/>
        <v>0.64273271386891195</v>
      </c>
      <c r="V278" s="169">
        <f t="shared" si="79"/>
        <v>11.016492642157758</v>
      </c>
      <c r="W278" s="170">
        <f t="shared" si="75"/>
        <v>132.76237899770541</v>
      </c>
      <c r="X278" s="170">
        <f t="shared" si="76"/>
        <v>143.77887163986315</v>
      </c>
    </row>
    <row r="279" spans="18:25" x14ac:dyDescent="0.15">
      <c r="R279" s="166">
        <v>12</v>
      </c>
      <c r="S279" s="1">
        <f t="shared" si="77"/>
        <v>137.70615802697196</v>
      </c>
      <c r="T279" s="167">
        <f t="shared" si="78"/>
        <v>206.55923704045793</v>
      </c>
      <c r="U279" s="168">
        <f t="shared" si="80"/>
        <v>0.64648198803314705</v>
      </c>
      <c r="V279" s="169">
        <f t="shared" si="79"/>
        <v>11.016492642157758</v>
      </c>
      <c r="W279" s="170">
        <f t="shared" si="75"/>
        <v>133.5368262085253</v>
      </c>
      <c r="X279" s="170">
        <f t="shared" si="76"/>
        <v>144.55331885068307</v>
      </c>
    </row>
    <row r="280" spans="18:25" ht="16" x14ac:dyDescent="0.3">
      <c r="S280" s="118">
        <f>IF($C$17&gt;=S265,SUM(S268:S279),"")</f>
        <v>1652.4738963236634</v>
      </c>
      <c r="T280" s="119">
        <f>IF($C$17&gt;=S265,SUM(T268:T279),"")</f>
        <v>2478.7108444854953</v>
      </c>
      <c r="U280" s="163">
        <f>IF(Y281="",0,AVERAGE(U268:U279))</f>
        <v>0.62625446493525927</v>
      </c>
      <c r="V280" s="120">
        <f>IF($C$17&gt;=S265,SUM(V268:V279),"")</f>
        <v>132.19791170589309</v>
      </c>
      <c r="W280" s="121">
        <f>IF($C$17&gt;=S265,SUM(W268:W279),"")</f>
        <v>1552.3037336424886</v>
      </c>
      <c r="X280" s="121">
        <f>IF($C$17&gt;=S265,SUM(X268:X279),"")</f>
        <v>1684.501645348382</v>
      </c>
    </row>
    <row r="281" spans="18:25" x14ac:dyDescent="0.15">
      <c r="W281" s="156" t="s">
        <v>53</v>
      </c>
      <c r="X281" s="117">
        <f>IF(AND($D$38="Yes",$D$40+1=S265,$C$17&gt;=S265),$B$40,0)</f>
        <v>0</v>
      </c>
      <c r="Y281" s="142">
        <f>IF(X280="","",IF($D$38="No",X280,IF($D$38="Yes",X280-X281,X280)))</f>
        <v>1684.501645348382</v>
      </c>
    </row>
    <row r="282" spans="18:25" ht="14" thickBot="1" x14ac:dyDescent="0.2"/>
    <row r="283" spans="18:25" ht="17" thickBot="1" x14ac:dyDescent="0.25">
      <c r="R283" s="126" t="s">
        <v>48</v>
      </c>
      <c r="S283" s="127">
        <v>13</v>
      </c>
      <c r="T283" s="154" t="s">
        <v>66</v>
      </c>
      <c r="U283" s="143">
        <f>U265-($C$36*U265)</f>
        <v>343.23259888222759</v>
      </c>
      <c r="V283" s="155" t="s">
        <v>68</v>
      </c>
      <c r="W283" s="19">
        <f>ROUND($C$25/12,15)</f>
        <v>5.8333333333329997E-3</v>
      </c>
      <c r="X283" s="161">
        <f>IF(X298="",0,(U283*12-(U283*12)*$C$36)/POWER(1+0,S283))</f>
        <v>4106.4348130269709</v>
      </c>
    </row>
    <row r="284" spans="18:25" x14ac:dyDescent="0.15">
      <c r="U284" s="182" t="s">
        <v>76</v>
      </c>
      <c r="V284" s="166">
        <f>IF(S283&lt;=$C$31,$C$29,IF(AND(S283&gt;$C$31,$B$34="Yes"),AVERAGE(U286:U297),$D$34))</f>
        <v>0.08</v>
      </c>
    </row>
    <row r="285" spans="18:25" x14ac:dyDescent="0.15">
      <c r="R285" s="122" t="s">
        <v>70</v>
      </c>
      <c r="S285" s="124">
        <f>$C$24</f>
        <v>0</v>
      </c>
      <c r="T285" s="125">
        <f>100%-$S$87</f>
        <v>1</v>
      </c>
      <c r="U285" s="112" t="s">
        <v>72</v>
      </c>
      <c r="V285" s="115" t="s">
        <v>71</v>
      </c>
      <c r="W285" s="115" t="s">
        <v>67</v>
      </c>
      <c r="X285" s="116" t="s">
        <v>69</v>
      </c>
    </row>
    <row r="286" spans="18:25" x14ac:dyDescent="0.15">
      <c r="R286" s="166">
        <v>1</v>
      </c>
      <c r="S286" s="1">
        <f>$U$283*$C$27</f>
        <v>137.29303955289103</v>
      </c>
      <c r="T286" s="167">
        <f>$U$283*(100%-$C$27)</f>
        <v>205.93955932933656</v>
      </c>
      <c r="U286" s="168">
        <f>U279*(1+$W$283)</f>
        <v>0.65025313296334009</v>
      </c>
      <c r="V286" s="169">
        <f>S286*$V$68</f>
        <v>10.983443164231282</v>
      </c>
      <c r="W286" s="170">
        <f t="shared" ref="W286:W297" si="81">T286*U286</f>
        <v>133.91284365499075</v>
      </c>
      <c r="X286" s="170">
        <f t="shared" ref="X286:X297" si="82">W286+V286</f>
        <v>144.89628681922204</v>
      </c>
    </row>
    <row r="287" spans="18:25" x14ac:dyDescent="0.15">
      <c r="R287" s="166">
        <v>2</v>
      </c>
      <c r="S287" s="1">
        <f t="shared" ref="S287:S297" si="83">$U$283*$C$27</f>
        <v>137.29303955289103</v>
      </c>
      <c r="T287" s="167">
        <f t="shared" ref="T287:T297" si="84">$U$283*(100%-$C$27)</f>
        <v>205.93955932933656</v>
      </c>
      <c r="U287" s="168">
        <f>U286*(1+$W$283)</f>
        <v>0.65404627623895928</v>
      </c>
      <c r="V287" s="169">
        <f t="shared" ref="V287:V297" si="85">S287*$V$68</f>
        <v>10.983443164231282</v>
      </c>
      <c r="W287" s="170">
        <f t="shared" si="81"/>
        <v>134.69400190964481</v>
      </c>
      <c r="X287" s="170">
        <f t="shared" si="82"/>
        <v>145.6774450738761</v>
      </c>
    </row>
    <row r="288" spans="18:25" x14ac:dyDescent="0.15">
      <c r="R288" s="166">
        <v>3</v>
      </c>
      <c r="S288" s="1">
        <f t="shared" si="83"/>
        <v>137.29303955289103</v>
      </c>
      <c r="T288" s="167">
        <f t="shared" si="84"/>
        <v>205.93955932933656</v>
      </c>
      <c r="U288" s="168">
        <f t="shared" ref="U288:U297" si="86">U287*(1+$W$283)</f>
        <v>0.65786154618368631</v>
      </c>
      <c r="V288" s="169">
        <f t="shared" si="85"/>
        <v>10.983443164231282</v>
      </c>
      <c r="W288" s="170">
        <f t="shared" si="81"/>
        <v>135.47971692078434</v>
      </c>
      <c r="X288" s="170">
        <f t="shared" si="82"/>
        <v>146.46316008501563</v>
      </c>
    </row>
    <row r="289" spans="18:25" x14ac:dyDescent="0.15">
      <c r="R289" s="166">
        <v>4</v>
      </c>
      <c r="S289" s="1">
        <f t="shared" si="83"/>
        <v>137.29303955289103</v>
      </c>
      <c r="T289" s="167">
        <f t="shared" si="84"/>
        <v>205.93955932933656</v>
      </c>
      <c r="U289" s="168">
        <f t="shared" si="86"/>
        <v>0.66169907186975752</v>
      </c>
      <c r="V289" s="169">
        <f t="shared" si="85"/>
        <v>10.983443164231282</v>
      </c>
      <c r="W289" s="170">
        <f t="shared" si="81"/>
        <v>136.27001526948885</v>
      </c>
      <c r="X289" s="170">
        <f t="shared" si="82"/>
        <v>147.25345843372014</v>
      </c>
    </row>
    <row r="290" spans="18:25" x14ac:dyDescent="0.15">
      <c r="R290" s="166">
        <v>5</v>
      </c>
      <c r="S290" s="1">
        <f t="shared" si="83"/>
        <v>137.29303955289103</v>
      </c>
      <c r="T290" s="167">
        <f t="shared" si="84"/>
        <v>205.93955932933656</v>
      </c>
      <c r="U290" s="168">
        <f t="shared" si="86"/>
        <v>0.66555898312233086</v>
      </c>
      <c r="V290" s="169">
        <f t="shared" si="85"/>
        <v>10.983443164231282</v>
      </c>
      <c r="W290" s="170">
        <f t="shared" si="81"/>
        <v>137.06492369189417</v>
      </c>
      <c r="X290" s="170">
        <f t="shared" si="82"/>
        <v>148.04836685612545</v>
      </c>
    </row>
    <row r="291" spans="18:25" x14ac:dyDescent="0.15">
      <c r="R291" s="166">
        <v>6</v>
      </c>
      <c r="S291" s="1">
        <f t="shared" si="83"/>
        <v>137.29303955289103</v>
      </c>
      <c r="T291" s="167">
        <f t="shared" si="84"/>
        <v>205.93955932933656</v>
      </c>
      <c r="U291" s="168">
        <f t="shared" si="86"/>
        <v>0.66944141052387751</v>
      </c>
      <c r="V291" s="169">
        <f t="shared" si="85"/>
        <v>10.983443164231282</v>
      </c>
      <c r="W291" s="170">
        <f t="shared" si="81"/>
        <v>137.86446908009682</v>
      </c>
      <c r="X291" s="170">
        <f t="shared" si="82"/>
        <v>148.84791224432811</v>
      </c>
    </row>
    <row r="292" spans="18:25" x14ac:dyDescent="0.15">
      <c r="R292" s="166">
        <v>7</v>
      </c>
      <c r="S292" s="1">
        <f t="shared" si="83"/>
        <v>137.29303955289103</v>
      </c>
      <c r="T292" s="167">
        <f t="shared" si="84"/>
        <v>205.93955932933656</v>
      </c>
      <c r="U292" s="168">
        <f t="shared" si="86"/>
        <v>0.67334648541859987</v>
      </c>
      <c r="V292" s="169">
        <f t="shared" si="85"/>
        <v>10.983443164231282</v>
      </c>
      <c r="W292" s="170">
        <f t="shared" si="81"/>
        <v>138.66867848306401</v>
      </c>
      <c r="X292" s="170">
        <f t="shared" si="82"/>
        <v>149.6521216472953</v>
      </c>
    </row>
    <row r="293" spans="18:25" x14ac:dyDescent="0.15">
      <c r="R293" s="166">
        <v>8</v>
      </c>
      <c r="S293" s="1">
        <f t="shared" si="83"/>
        <v>137.29303955289103</v>
      </c>
      <c r="T293" s="167">
        <f t="shared" si="84"/>
        <v>205.93955932933656</v>
      </c>
      <c r="U293" s="168">
        <f t="shared" si="86"/>
        <v>0.6772743399168748</v>
      </c>
      <c r="V293" s="169">
        <f t="shared" si="85"/>
        <v>10.983443164231282</v>
      </c>
      <c r="W293" s="170">
        <f t="shared" si="81"/>
        <v>139.47757910754851</v>
      </c>
      <c r="X293" s="170">
        <f t="shared" si="82"/>
        <v>150.4610222717798</v>
      </c>
    </row>
    <row r="294" spans="18:25" x14ac:dyDescent="0.15">
      <c r="R294" s="166">
        <v>9</v>
      </c>
      <c r="S294" s="1">
        <f t="shared" si="83"/>
        <v>137.29303955289103</v>
      </c>
      <c r="T294" s="167">
        <f t="shared" si="84"/>
        <v>205.93955932933656</v>
      </c>
      <c r="U294" s="168">
        <f t="shared" si="86"/>
        <v>0.68122510689972293</v>
      </c>
      <c r="V294" s="169">
        <f t="shared" si="85"/>
        <v>10.983443164231282</v>
      </c>
      <c r="W294" s="170">
        <f t="shared" si="81"/>
        <v>140.29119831900914</v>
      </c>
      <c r="X294" s="170">
        <f t="shared" si="82"/>
        <v>151.27464148324043</v>
      </c>
    </row>
    <row r="295" spans="18:25" x14ac:dyDescent="0.15">
      <c r="R295" s="166">
        <v>10</v>
      </c>
      <c r="S295" s="1">
        <f t="shared" si="83"/>
        <v>137.29303955289103</v>
      </c>
      <c r="T295" s="167">
        <f t="shared" si="84"/>
        <v>205.93955932933656</v>
      </c>
      <c r="U295" s="168">
        <f t="shared" si="86"/>
        <v>0.6851989200233044</v>
      </c>
      <c r="V295" s="169">
        <f t="shared" si="85"/>
        <v>10.983443164231282</v>
      </c>
      <c r="W295" s="170">
        <f t="shared" si="81"/>
        <v>141.10956364253664</v>
      </c>
      <c r="X295" s="170">
        <f t="shared" si="82"/>
        <v>152.09300680676793</v>
      </c>
    </row>
    <row r="296" spans="18:25" x14ac:dyDescent="0.15">
      <c r="R296" s="166">
        <v>11</v>
      </c>
      <c r="S296" s="1">
        <f t="shared" si="83"/>
        <v>137.29303955289103</v>
      </c>
      <c r="T296" s="167">
        <f t="shared" si="84"/>
        <v>205.93955932933656</v>
      </c>
      <c r="U296" s="168">
        <f t="shared" si="86"/>
        <v>0.68919591372344002</v>
      </c>
      <c r="V296" s="169">
        <f t="shared" si="85"/>
        <v>10.983443164231282</v>
      </c>
      <c r="W296" s="170">
        <f t="shared" si="81"/>
        <v>141.9327027637847</v>
      </c>
      <c r="X296" s="170">
        <f t="shared" si="82"/>
        <v>152.91614592801599</v>
      </c>
    </row>
    <row r="297" spans="18:25" x14ac:dyDescent="0.15">
      <c r="R297" s="166">
        <v>12</v>
      </c>
      <c r="S297" s="1">
        <f t="shared" si="83"/>
        <v>137.29303955289103</v>
      </c>
      <c r="T297" s="167">
        <f t="shared" si="84"/>
        <v>205.93955932933656</v>
      </c>
      <c r="U297" s="168">
        <f t="shared" si="86"/>
        <v>0.69321622322015986</v>
      </c>
      <c r="V297" s="169">
        <f t="shared" si="85"/>
        <v>10.983443164231282</v>
      </c>
      <c r="W297" s="170">
        <f t="shared" si="81"/>
        <v>142.76064352990673</v>
      </c>
      <c r="X297" s="170">
        <f t="shared" si="82"/>
        <v>153.74408669413802</v>
      </c>
    </row>
    <row r="298" spans="18:25" ht="16" x14ac:dyDescent="0.3">
      <c r="S298" s="118">
        <f>IF($C$17&gt;=S283,SUM(S286:S297),"")</f>
        <v>1647.5164746346925</v>
      </c>
      <c r="T298" s="119">
        <f>IF($C$17&gt;=S283,SUM(T286:T297),"")</f>
        <v>2471.2747119520386</v>
      </c>
      <c r="U298" s="163">
        <f>IF(Y299="",0,AVERAGE(U286:U297))</f>
        <v>0.67152645084200435</v>
      </c>
      <c r="V298" s="120">
        <f>IF($C$17&gt;=S283,SUM(V286:V297),"")</f>
        <v>131.80131797077541</v>
      </c>
      <c r="W298" s="121">
        <f>IF($C$17&gt;=S283,SUM(W286:W297),"")</f>
        <v>1659.5263363727495</v>
      </c>
      <c r="X298" s="121">
        <f>IF($C$17&gt;=S283,SUM(X286:X297),"")</f>
        <v>1791.3276543435252</v>
      </c>
    </row>
    <row r="299" spans="18:25" x14ac:dyDescent="0.15">
      <c r="W299" s="156" t="s">
        <v>53</v>
      </c>
      <c r="X299" s="117">
        <f>IF(AND($D$38="Yes",$D$40+1=S283,$C$17&gt;=S283),$B$40,0)</f>
        <v>0</v>
      </c>
      <c r="Y299" s="142">
        <f>IF(X298="","",IF($D$38="No",X298,IF($D$38="Yes",X298-X299,X298)))</f>
        <v>1791.3276543435252</v>
      </c>
    </row>
    <row r="300" spans="18:25" ht="14" thickBot="1" x14ac:dyDescent="0.2"/>
    <row r="301" spans="18:25" ht="17" thickBot="1" x14ac:dyDescent="0.25">
      <c r="R301" s="126" t="s">
        <v>48</v>
      </c>
      <c r="S301" s="127">
        <v>14</v>
      </c>
      <c r="T301" s="154" t="s">
        <v>66</v>
      </c>
      <c r="U301" s="143">
        <f>U283-($C$36*U283)</f>
        <v>342.20290108558089</v>
      </c>
      <c r="V301" s="155" t="s">
        <v>68</v>
      </c>
      <c r="W301" s="19">
        <f>ROUND($C$25/12,15)</f>
        <v>5.8333333333329997E-3</v>
      </c>
      <c r="X301" s="161">
        <f>IF(X316="",0,(U301*12-(U301*12)*$C$36)/POWER(1+0,S301))</f>
        <v>4094.11550858789</v>
      </c>
    </row>
    <row r="302" spans="18:25" x14ac:dyDescent="0.15">
      <c r="U302" s="182" t="s">
        <v>76</v>
      </c>
      <c r="V302" s="166">
        <f>IF(S301&lt;=$C$31,$C$29,IF(AND(S301&gt;$C$31,$B$34="Yes"),AVERAGE(U304:U315),$D$34))</f>
        <v>0.08</v>
      </c>
    </row>
    <row r="303" spans="18:25" x14ac:dyDescent="0.15">
      <c r="R303" s="122" t="s">
        <v>70</v>
      </c>
      <c r="S303" s="124">
        <f>$C$24</f>
        <v>0</v>
      </c>
      <c r="T303" s="125">
        <f>100%-$S$87</f>
        <v>1</v>
      </c>
      <c r="U303" s="112" t="s">
        <v>72</v>
      </c>
      <c r="V303" s="115" t="s">
        <v>71</v>
      </c>
      <c r="W303" s="115" t="s">
        <v>67</v>
      </c>
      <c r="X303" s="116" t="s">
        <v>69</v>
      </c>
    </row>
    <row r="304" spans="18:25" x14ac:dyDescent="0.15">
      <c r="R304" s="166">
        <v>1</v>
      </c>
      <c r="S304" s="1">
        <f>$U$301*$C$27</f>
        <v>136.88116043423236</v>
      </c>
      <c r="T304" s="167">
        <f>$U$301*(100%-$C$27)</f>
        <v>205.32174065134853</v>
      </c>
      <c r="U304" s="168">
        <f>U297*(1+$W$301)</f>
        <v>0.69725998452227711</v>
      </c>
      <c r="V304" s="169">
        <f>S304*$V$68</f>
        <v>10.950492834738588</v>
      </c>
      <c r="W304" s="170">
        <f t="shared" ref="W304:W315" si="87">T304*U304</f>
        <v>143.16263370864627</v>
      </c>
      <c r="X304" s="170">
        <f t="shared" ref="X304:X315" si="88">W304+V304</f>
        <v>154.11312654338485</v>
      </c>
    </row>
    <row r="305" spans="18:25" x14ac:dyDescent="0.15">
      <c r="R305" s="166">
        <v>2</v>
      </c>
      <c r="S305" s="1">
        <f t="shared" ref="S305:S315" si="89">$U$301*$C$27</f>
        <v>136.88116043423236</v>
      </c>
      <c r="T305" s="167">
        <f t="shared" ref="T305:T315" si="90">$U$301*(100%-$C$27)</f>
        <v>205.32174065134853</v>
      </c>
      <c r="U305" s="168">
        <f>U304*(1+$W$301)</f>
        <v>0.70132733443199013</v>
      </c>
      <c r="V305" s="169">
        <f t="shared" ref="V305:V315" si="91">S305*$V$68</f>
        <v>10.950492834738588</v>
      </c>
      <c r="W305" s="170">
        <f t="shared" si="87"/>
        <v>143.99774907194666</v>
      </c>
      <c r="X305" s="170">
        <f t="shared" si="88"/>
        <v>154.94824190668524</v>
      </c>
    </row>
    <row r="306" spans="18:25" x14ac:dyDescent="0.15">
      <c r="R306" s="166">
        <v>3</v>
      </c>
      <c r="S306" s="1">
        <f t="shared" si="89"/>
        <v>136.88116043423236</v>
      </c>
      <c r="T306" s="167">
        <f t="shared" si="90"/>
        <v>205.32174065134853</v>
      </c>
      <c r="U306" s="168">
        <f t="shared" ref="U306:U314" si="92">U305*(1+$W$301)</f>
        <v>0.70541841054950982</v>
      </c>
      <c r="V306" s="169">
        <f t="shared" si="91"/>
        <v>10.950492834738588</v>
      </c>
      <c r="W306" s="170">
        <f t="shared" si="87"/>
        <v>144.83773594153297</v>
      </c>
      <c r="X306" s="170">
        <f t="shared" si="88"/>
        <v>155.78822877627155</v>
      </c>
    </row>
    <row r="307" spans="18:25" x14ac:dyDescent="0.15">
      <c r="R307" s="166">
        <v>4</v>
      </c>
      <c r="S307" s="1">
        <f t="shared" si="89"/>
        <v>136.88116043423236</v>
      </c>
      <c r="T307" s="167">
        <f t="shared" si="90"/>
        <v>205.32174065134853</v>
      </c>
      <c r="U307" s="168">
        <f t="shared" si="92"/>
        <v>0.709533351277715</v>
      </c>
      <c r="V307" s="169">
        <f t="shared" si="91"/>
        <v>10.950492834738588</v>
      </c>
      <c r="W307" s="170">
        <f t="shared" si="87"/>
        <v>145.68262273452518</v>
      </c>
      <c r="X307" s="170">
        <f t="shared" si="88"/>
        <v>156.63311556926377</v>
      </c>
    </row>
    <row r="308" spans="18:25" x14ac:dyDescent="0.15">
      <c r="R308" s="166">
        <v>5</v>
      </c>
      <c r="S308" s="1">
        <f t="shared" si="89"/>
        <v>136.88116043423236</v>
      </c>
      <c r="T308" s="167">
        <f t="shared" si="90"/>
        <v>205.32174065134853</v>
      </c>
      <c r="U308" s="168">
        <f t="shared" si="92"/>
        <v>0.71367229582683467</v>
      </c>
      <c r="V308" s="169">
        <f t="shared" si="91"/>
        <v>10.950492834738588</v>
      </c>
      <c r="W308" s="170">
        <f t="shared" si="87"/>
        <v>146.53243803380983</v>
      </c>
      <c r="X308" s="170">
        <f t="shared" si="88"/>
        <v>157.48293086854841</v>
      </c>
    </row>
    <row r="309" spans="18:25" x14ac:dyDescent="0.15">
      <c r="R309" s="166">
        <v>6</v>
      </c>
      <c r="S309" s="1">
        <f t="shared" si="89"/>
        <v>136.88116043423236</v>
      </c>
      <c r="T309" s="167">
        <f t="shared" si="90"/>
        <v>205.32174065134853</v>
      </c>
      <c r="U309" s="168">
        <f t="shared" si="92"/>
        <v>0.7178353842191576</v>
      </c>
      <c r="V309" s="169">
        <f t="shared" si="91"/>
        <v>10.950492834738588</v>
      </c>
      <c r="W309" s="170">
        <f t="shared" si="87"/>
        <v>147.387210589007</v>
      </c>
      <c r="X309" s="170">
        <f t="shared" si="88"/>
        <v>158.33770342374558</v>
      </c>
    </row>
    <row r="310" spans="18:25" x14ac:dyDescent="0.15">
      <c r="R310" s="166">
        <v>7</v>
      </c>
      <c r="S310" s="1">
        <f t="shared" si="89"/>
        <v>136.88116043423236</v>
      </c>
      <c r="T310" s="167">
        <f t="shared" si="90"/>
        <v>205.32174065134853</v>
      </c>
      <c r="U310" s="168">
        <f t="shared" si="92"/>
        <v>0.72202275729376908</v>
      </c>
      <c r="V310" s="169">
        <f t="shared" si="91"/>
        <v>10.950492834738588</v>
      </c>
      <c r="W310" s="170">
        <f t="shared" si="87"/>
        <v>148.24696931744282</v>
      </c>
      <c r="X310" s="170">
        <f t="shared" si="88"/>
        <v>159.1974621521814</v>
      </c>
    </row>
    <row r="311" spans="18:25" x14ac:dyDescent="0.15">
      <c r="R311" s="166">
        <v>8</v>
      </c>
      <c r="S311" s="1">
        <f t="shared" si="89"/>
        <v>136.88116043423236</v>
      </c>
      <c r="T311" s="167">
        <f t="shared" si="90"/>
        <v>205.32174065134853</v>
      </c>
      <c r="U311" s="168">
        <f t="shared" si="92"/>
        <v>0.72623455671131576</v>
      </c>
      <c r="V311" s="169">
        <f t="shared" si="91"/>
        <v>10.950492834738588</v>
      </c>
      <c r="W311" s="170">
        <f t="shared" si="87"/>
        <v>149.11174330512785</v>
      </c>
      <c r="X311" s="170">
        <f t="shared" si="88"/>
        <v>160.06223613986643</v>
      </c>
    </row>
    <row r="312" spans="18:25" x14ac:dyDescent="0.15">
      <c r="R312" s="166">
        <v>9</v>
      </c>
      <c r="S312" s="1">
        <f t="shared" si="89"/>
        <v>136.88116043423236</v>
      </c>
      <c r="T312" s="167">
        <f t="shared" si="90"/>
        <v>205.32174065134853</v>
      </c>
      <c r="U312" s="168">
        <f t="shared" si="92"/>
        <v>0.73047092495879817</v>
      </c>
      <c r="V312" s="169">
        <f t="shared" si="91"/>
        <v>10.950492834738588</v>
      </c>
      <c r="W312" s="170">
        <f t="shared" si="87"/>
        <v>149.98156180774103</v>
      </c>
      <c r="X312" s="170">
        <f t="shared" si="88"/>
        <v>160.93205464247961</v>
      </c>
    </row>
    <row r="313" spans="18:25" x14ac:dyDescent="0.15">
      <c r="R313" s="166">
        <v>10</v>
      </c>
      <c r="S313" s="1">
        <f t="shared" si="89"/>
        <v>136.88116043423236</v>
      </c>
      <c r="T313" s="167">
        <f t="shared" si="90"/>
        <v>205.32174065134853</v>
      </c>
      <c r="U313" s="168">
        <f t="shared" si="92"/>
        <v>0.73473200535439087</v>
      </c>
      <c r="V313" s="169">
        <f t="shared" si="91"/>
        <v>10.950492834738588</v>
      </c>
      <c r="W313" s="170">
        <f t="shared" si="87"/>
        <v>150.85645425161945</v>
      </c>
      <c r="X313" s="170">
        <f t="shared" si="88"/>
        <v>161.80694708635804</v>
      </c>
    </row>
    <row r="314" spans="18:25" x14ac:dyDescent="0.15">
      <c r="R314" s="166">
        <v>11</v>
      </c>
      <c r="S314" s="1">
        <f t="shared" si="89"/>
        <v>136.88116043423236</v>
      </c>
      <c r="T314" s="167">
        <f t="shared" si="90"/>
        <v>205.32174065134853</v>
      </c>
      <c r="U314" s="168">
        <f t="shared" si="92"/>
        <v>0.73901794205229121</v>
      </c>
      <c r="V314" s="169">
        <f t="shared" si="91"/>
        <v>10.950492834738588</v>
      </c>
      <c r="W314" s="170">
        <f t="shared" si="87"/>
        <v>151.73645023475385</v>
      </c>
      <c r="X314" s="170">
        <f t="shared" si="88"/>
        <v>162.68694306949243</v>
      </c>
    </row>
    <row r="315" spans="18:25" x14ac:dyDescent="0.15">
      <c r="R315" s="166">
        <v>12</v>
      </c>
      <c r="S315" s="1">
        <f t="shared" si="89"/>
        <v>136.88116043423236</v>
      </c>
      <c r="T315" s="167">
        <f t="shared" si="90"/>
        <v>205.32174065134853</v>
      </c>
      <c r="U315" s="168">
        <f>U314*(1+$W$301)</f>
        <v>0.7433288800475959</v>
      </c>
      <c r="V315" s="169">
        <f t="shared" si="91"/>
        <v>10.950492834738588</v>
      </c>
      <c r="W315" s="170">
        <f t="shared" si="87"/>
        <v>152.62157952778986</v>
      </c>
      <c r="X315" s="170">
        <f t="shared" si="88"/>
        <v>163.57207236252844</v>
      </c>
    </row>
    <row r="316" spans="18:25" ht="16" x14ac:dyDescent="0.3">
      <c r="S316" s="118">
        <f>IF($C$17&gt;=S301,SUM(S304:S315),"")</f>
        <v>1642.5739252107878</v>
      </c>
      <c r="T316" s="119">
        <f>IF($C$17&gt;=S301,SUM(T304:T315),"")</f>
        <v>2463.8608878161826</v>
      </c>
      <c r="U316" s="163">
        <f>IF(Y317="",0,AVERAGE(U304:U315))</f>
        <v>0.72007115227047047</v>
      </c>
      <c r="V316" s="120">
        <f>IF($C$17&gt;=S301,SUM(V304:V315),"")</f>
        <v>131.40591401686302</v>
      </c>
      <c r="W316" s="121">
        <f>IF($C$17&gt;=S301,SUM(W304:W315),"")</f>
        <v>1774.1551485239427</v>
      </c>
      <c r="X316" s="121">
        <f>IF($C$17&gt;=S301,SUM(X304:X315),"")</f>
        <v>1905.5610625408056</v>
      </c>
    </row>
    <row r="317" spans="18:25" x14ac:dyDescent="0.15">
      <c r="R317" s="173"/>
      <c r="W317" s="156" t="s">
        <v>53</v>
      </c>
      <c r="X317" s="117">
        <f>IF(AND($D$38="Yes",$D$40+1=S301,$C$17&gt;=S301),$B$40,0)</f>
        <v>0</v>
      </c>
      <c r="Y317" s="142">
        <f>IF(X316="","",IF($D$38="No",X316,IF($D$38="Yes",X316-X317,X316)))</f>
        <v>1905.5610625408056</v>
      </c>
    </row>
    <row r="318" spans="18:25" ht="14" thickBot="1" x14ac:dyDescent="0.2"/>
    <row r="319" spans="18:25" ht="17" thickBot="1" x14ac:dyDescent="0.25">
      <c r="R319" s="126" t="s">
        <v>48</v>
      </c>
      <c r="S319" s="127">
        <v>15</v>
      </c>
      <c r="T319" s="154" t="s">
        <v>66</v>
      </c>
      <c r="U319" s="143">
        <f>U301-($C$36*U301)</f>
        <v>341.17629238232416</v>
      </c>
      <c r="V319" s="155" t="s">
        <v>68</v>
      </c>
      <c r="W319" s="19">
        <f>ROUND($C$25/12,15)</f>
        <v>5.8333333333329997E-3</v>
      </c>
      <c r="X319" s="161">
        <f>IF(X334="",0,(U319*12-(U319*12)*$C$36)/POWER(1+0,S319))</f>
        <v>4081.8331620621261</v>
      </c>
    </row>
    <row r="320" spans="18:25" x14ac:dyDescent="0.15">
      <c r="U320" s="182" t="s">
        <v>76</v>
      </c>
      <c r="V320" s="166">
        <f>IF(S319&lt;=$C$31,$C$29,IF(AND(S319&gt;$C$31,$B$34="Yes"),AVERAGE(U322:U333),$D$34))</f>
        <v>0.08</v>
      </c>
    </row>
    <row r="321" spans="18:25" x14ac:dyDescent="0.15">
      <c r="R321" s="122" t="s">
        <v>70</v>
      </c>
      <c r="S321" s="124">
        <f>$C$24</f>
        <v>0</v>
      </c>
      <c r="T321" s="125">
        <f>100%-$S$87</f>
        <v>1</v>
      </c>
      <c r="U321" s="112" t="s">
        <v>72</v>
      </c>
      <c r="V321" s="115" t="s">
        <v>71</v>
      </c>
      <c r="W321" s="115" t="s">
        <v>67</v>
      </c>
      <c r="X321" s="116" t="s">
        <v>69</v>
      </c>
    </row>
    <row r="322" spans="18:25" x14ac:dyDescent="0.15">
      <c r="R322" s="166">
        <v>1</v>
      </c>
      <c r="S322" s="1">
        <f>$U$319*$C$27</f>
        <v>136.47051695292967</v>
      </c>
      <c r="T322" s="167">
        <f>$U$319*(100%-$C$27)</f>
        <v>204.70577542939449</v>
      </c>
      <c r="U322" s="168">
        <f>U315*(1+$W$319)</f>
        <v>0.74766496518120651</v>
      </c>
      <c r="V322" s="169">
        <f>S322*$V$68</f>
        <v>10.917641356234373</v>
      </c>
      <c r="W322" s="170">
        <f t="shared" ref="W322:W333" si="93">T322*U322</f>
        <v>153.05133645881011</v>
      </c>
      <c r="X322" s="170">
        <f t="shared" ref="X322:X333" si="94">W322+V322</f>
        <v>163.9689778150445</v>
      </c>
    </row>
    <row r="323" spans="18:25" x14ac:dyDescent="0.15">
      <c r="R323" s="166">
        <v>2</v>
      </c>
      <c r="S323" s="1">
        <f t="shared" ref="S323:S333" si="95">$U$319*$C$27</f>
        <v>136.47051695292967</v>
      </c>
      <c r="T323" s="167">
        <f t="shared" ref="T323:T333" si="96">$U$319*(100%-$C$27)</f>
        <v>204.70577542939449</v>
      </c>
      <c r="U323" s="168">
        <f>U322*(1+$W$319)</f>
        <v>0.75202634414476321</v>
      </c>
      <c r="V323" s="169">
        <f t="shared" ref="V323:V333" si="97">S323*$V$68</f>
        <v>10.917641356234373</v>
      </c>
      <c r="W323" s="170">
        <f t="shared" si="93"/>
        <v>153.94413592148643</v>
      </c>
      <c r="X323" s="170">
        <f t="shared" si="94"/>
        <v>164.86177727772082</v>
      </c>
    </row>
    <row r="324" spans="18:25" x14ac:dyDescent="0.15">
      <c r="R324" s="166">
        <v>3</v>
      </c>
      <c r="S324" s="1">
        <f t="shared" si="95"/>
        <v>136.47051695292967</v>
      </c>
      <c r="T324" s="167">
        <f t="shared" si="96"/>
        <v>204.70577542939449</v>
      </c>
      <c r="U324" s="168">
        <f t="shared" ref="U324:U333" si="98">U323*(1+$W$319)</f>
        <v>0.75641316448560736</v>
      </c>
      <c r="V324" s="169">
        <f t="shared" si="97"/>
        <v>10.917641356234373</v>
      </c>
      <c r="W324" s="170">
        <f t="shared" si="93"/>
        <v>154.84214338102836</v>
      </c>
      <c r="X324" s="170">
        <f t="shared" si="94"/>
        <v>165.75978473726275</v>
      </c>
    </row>
    <row r="325" spans="18:25" x14ac:dyDescent="0.15">
      <c r="R325" s="166">
        <v>4</v>
      </c>
      <c r="S325" s="1">
        <f t="shared" si="95"/>
        <v>136.47051695292967</v>
      </c>
      <c r="T325" s="167">
        <f t="shared" si="96"/>
        <v>204.70577542939449</v>
      </c>
      <c r="U325" s="168">
        <f t="shared" si="98"/>
        <v>0.76082557461177314</v>
      </c>
      <c r="V325" s="169">
        <f t="shared" si="97"/>
        <v>10.917641356234373</v>
      </c>
      <c r="W325" s="170">
        <f t="shared" si="93"/>
        <v>155.74538921741765</v>
      </c>
      <c r="X325" s="170">
        <f t="shared" si="94"/>
        <v>166.66303057365204</v>
      </c>
    </row>
    <row r="326" spans="18:25" x14ac:dyDescent="0.15">
      <c r="R326" s="166">
        <v>5</v>
      </c>
      <c r="S326" s="1">
        <f t="shared" si="95"/>
        <v>136.47051695292967</v>
      </c>
      <c r="T326" s="167">
        <f t="shared" si="96"/>
        <v>204.70577542939449</v>
      </c>
      <c r="U326" s="168">
        <f t="shared" si="98"/>
        <v>0.76526372379700813</v>
      </c>
      <c r="V326" s="169">
        <f t="shared" si="97"/>
        <v>10.917641356234373</v>
      </c>
      <c r="W326" s="170">
        <f t="shared" si="93"/>
        <v>156.65390398785252</v>
      </c>
      <c r="X326" s="170">
        <f t="shared" si="94"/>
        <v>167.5715453440869</v>
      </c>
    </row>
    <row r="327" spans="18:25" x14ac:dyDescent="0.15">
      <c r="R327" s="166">
        <v>6</v>
      </c>
      <c r="S327" s="1">
        <f t="shared" si="95"/>
        <v>136.47051695292967</v>
      </c>
      <c r="T327" s="167">
        <f t="shared" si="96"/>
        <v>204.70577542939449</v>
      </c>
      <c r="U327" s="168">
        <f t="shared" si="98"/>
        <v>0.76972776218582373</v>
      </c>
      <c r="V327" s="169">
        <f t="shared" si="97"/>
        <v>10.917641356234373</v>
      </c>
      <c r="W327" s="170">
        <f t="shared" si="93"/>
        <v>157.56771842778161</v>
      </c>
      <c r="X327" s="170">
        <f t="shared" si="94"/>
        <v>168.485359784016</v>
      </c>
    </row>
    <row r="328" spans="18:25" x14ac:dyDescent="0.15">
      <c r="R328" s="166">
        <v>7</v>
      </c>
      <c r="S328" s="1">
        <f t="shared" si="95"/>
        <v>136.47051695292967</v>
      </c>
      <c r="T328" s="167">
        <f t="shared" si="96"/>
        <v>204.70577542939449</v>
      </c>
      <c r="U328" s="168">
        <f t="shared" si="98"/>
        <v>0.77421784079857403</v>
      </c>
      <c r="V328" s="169">
        <f t="shared" si="97"/>
        <v>10.917641356234373</v>
      </c>
      <c r="W328" s="170">
        <f t="shared" si="93"/>
        <v>158.48686345194361</v>
      </c>
      <c r="X328" s="170">
        <f t="shared" si="94"/>
        <v>169.40450480817799</v>
      </c>
    </row>
    <row r="329" spans="18:25" x14ac:dyDescent="0.15">
      <c r="R329" s="166">
        <v>8</v>
      </c>
      <c r="S329" s="1">
        <f t="shared" si="95"/>
        <v>136.47051695292967</v>
      </c>
      <c r="T329" s="167">
        <f t="shared" si="96"/>
        <v>204.70577542939449</v>
      </c>
      <c r="U329" s="168">
        <f t="shared" si="98"/>
        <v>0.77873411153656535</v>
      </c>
      <c r="V329" s="169">
        <f t="shared" si="97"/>
        <v>10.917641356234373</v>
      </c>
      <c r="W329" s="170">
        <f t="shared" si="93"/>
        <v>159.41137015541318</v>
      </c>
      <c r="X329" s="170">
        <f t="shared" si="94"/>
        <v>170.32901151164756</v>
      </c>
    </row>
    <row r="330" spans="18:25" x14ac:dyDescent="0.15">
      <c r="R330" s="166">
        <v>9</v>
      </c>
      <c r="S330" s="1">
        <f t="shared" si="95"/>
        <v>136.47051695292967</v>
      </c>
      <c r="T330" s="167">
        <f t="shared" si="96"/>
        <v>204.70577542939449</v>
      </c>
      <c r="U330" s="168">
        <f t="shared" si="98"/>
        <v>0.78327672718719499</v>
      </c>
      <c r="V330" s="169">
        <f t="shared" si="97"/>
        <v>10.917641356234373</v>
      </c>
      <c r="W330" s="170">
        <f t="shared" si="93"/>
        <v>160.34126981465303</v>
      </c>
      <c r="X330" s="170">
        <f t="shared" si="94"/>
        <v>171.25891117088742</v>
      </c>
    </row>
    <row r="331" spans="18:25" x14ac:dyDescent="0.15">
      <c r="R331" s="166">
        <v>10</v>
      </c>
      <c r="S331" s="1">
        <f t="shared" si="95"/>
        <v>136.47051695292967</v>
      </c>
      <c r="T331" s="167">
        <f t="shared" si="96"/>
        <v>204.70577542939449</v>
      </c>
      <c r="U331" s="168">
        <f t="shared" si="98"/>
        <v>0.78784584142911995</v>
      </c>
      <c r="V331" s="169">
        <f t="shared" si="97"/>
        <v>10.917641356234373</v>
      </c>
      <c r="W331" s="170">
        <f t="shared" si="93"/>
        <v>161.27659388857177</v>
      </c>
      <c r="X331" s="170">
        <f t="shared" si="94"/>
        <v>172.19423524480615</v>
      </c>
    </row>
    <row r="332" spans="18:25" x14ac:dyDescent="0.15">
      <c r="R332" s="166">
        <v>11</v>
      </c>
      <c r="S332" s="1">
        <f t="shared" si="95"/>
        <v>136.47051695292967</v>
      </c>
      <c r="T332" s="167">
        <f t="shared" si="96"/>
        <v>204.70577542939449</v>
      </c>
      <c r="U332" s="168">
        <f t="shared" si="98"/>
        <v>0.79244160883745618</v>
      </c>
      <c r="V332" s="169">
        <f t="shared" si="97"/>
        <v>10.917641356234373</v>
      </c>
      <c r="W332" s="170">
        <f t="shared" si="93"/>
        <v>162.21737401958839</v>
      </c>
      <c r="X332" s="170">
        <f t="shared" si="94"/>
        <v>173.13501537582277</v>
      </c>
    </row>
    <row r="333" spans="18:25" x14ac:dyDescent="0.15">
      <c r="R333" s="166">
        <v>12</v>
      </c>
      <c r="S333" s="1">
        <f t="shared" si="95"/>
        <v>136.47051695292967</v>
      </c>
      <c r="T333" s="167">
        <f t="shared" si="96"/>
        <v>204.70577542939449</v>
      </c>
      <c r="U333" s="168">
        <f t="shared" si="98"/>
        <v>0.79706418488900765</v>
      </c>
      <c r="V333" s="169">
        <f t="shared" si="97"/>
        <v>10.917641356234373</v>
      </c>
      <c r="W333" s="170">
        <f t="shared" si="93"/>
        <v>163.16364203470258</v>
      </c>
      <c r="X333" s="170">
        <f t="shared" si="94"/>
        <v>174.08128339093696</v>
      </c>
    </row>
    <row r="334" spans="18:25" ht="16" x14ac:dyDescent="0.3">
      <c r="S334" s="118">
        <f>IF($C$17&gt;=S319,SUM(S322:S333),"")</f>
        <v>1637.6462034351564</v>
      </c>
      <c r="T334" s="119">
        <f>IF($C$17&gt;=S319,SUM(T322:T333),"")</f>
        <v>2456.4693051527338</v>
      </c>
      <c r="U334" s="163">
        <f>IF(Y335="",0,AVERAGE(U322:U333))</f>
        <v>0.77212515409034166</v>
      </c>
      <c r="V334" s="120">
        <f>IF($C$17&gt;=S319,SUM(V322:V333),"")</f>
        <v>131.01169627481246</v>
      </c>
      <c r="W334" s="121">
        <f>IF($C$17&gt;=S319,SUM(W322:W333),"")</f>
        <v>1896.7017407592493</v>
      </c>
      <c r="X334" s="121">
        <f>IF($C$17&gt;=S319,SUM(X322:X333),"")</f>
        <v>2027.7134370340618</v>
      </c>
    </row>
    <row r="335" spans="18:25" x14ac:dyDescent="0.15">
      <c r="W335" s="156" t="s">
        <v>53</v>
      </c>
      <c r="X335" s="117">
        <f>IF(AND($D$38="Yes",$D$40+1=S319,$C$17&gt;=S319),$B$40,0)</f>
        <v>0</v>
      </c>
      <c r="Y335" s="142">
        <f>IF(X334="","",IF($D$38="No",X334,IF($D$38="Yes",X334-X335,X334)))</f>
        <v>2027.7134370340618</v>
      </c>
    </row>
    <row r="336" spans="18:25" ht="14" thickBot="1" x14ac:dyDescent="0.2"/>
    <row r="337" spans="18:24" ht="17" thickBot="1" x14ac:dyDescent="0.25">
      <c r="R337" s="126" t="s">
        <v>48</v>
      </c>
      <c r="S337" s="127">
        <v>16</v>
      </c>
      <c r="T337" s="154" t="s">
        <v>66</v>
      </c>
      <c r="U337" s="143">
        <f>U319-($C$36*U319)</f>
        <v>340.15276350517718</v>
      </c>
      <c r="V337" s="155" t="s">
        <v>68</v>
      </c>
      <c r="W337" s="19">
        <f>ROUND($C$25/12,15)</f>
        <v>5.8333333333329997E-3</v>
      </c>
      <c r="X337" s="161">
        <f>IF(X352="",0,(U337*12-(U337*12)*$C$36)/POWER(1+0,S337))</f>
        <v>4069.5876625759397</v>
      </c>
    </row>
    <row r="338" spans="18:24" x14ac:dyDescent="0.15">
      <c r="U338" s="182" t="s">
        <v>76</v>
      </c>
      <c r="V338" s="166">
        <f>IF(S337&lt;=$C$31,$C$29,IF(AND(S337&gt;$C$31,$B$34="Yes"),AVERAGE(U340:U351),$D$34))</f>
        <v>0.08</v>
      </c>
    </row>
    <row r="339" spans="18:24" x14ac:dyDescent="0.15">
      <c r="R339" s="122" t="s">
        <v>70</v>
      </c>
      <c r="S339" s="124">
        <f>$C$24</f>
        <v>0</v>
      </c>
      <c r="T339" s="125">
        <f>100%-$S$87</f>
        <v>1</v>
      </c>
      <c r="U339" s="112" t="s">
        <v>72</v>
      </c>
      <c r="V339" s="115" t="s">
        <v>71</v>
      </c>
      <c r="W339" s="115" t="s">
        <v>67</v>
      </c>
      <c r="X339" s="116" t="s">
        <v>69</v>
      </c>
    </row>
    <row r="340" spans="18:24" x14ac:dyDescent="0.15">
      <c r="R340" s="166">
        <v>1</v>
      </c>
      <c r="S340" s="1">
        <f>$U$337*$C$27</f>
        <v>136.06110540207087</v>
      </c>
      <c r="T340" s="167">
        <f>$U$337*(100%-$C$27)</f>
        <v>204.09165810310631</v>
      </c>
      <c r="U340" s="168">
        <f>U333*(1+$W$337)</f>
        <v>0.80171372596752655</v>
      </c>
      <c r="V340" s="169">
        <f>S340*$V$68</f>
        <v>10.884888432165669</v>
      </c>
      <c r="W340" s="170">
        <f t="shared" ref="W340:W351" si="99">T340*U340</f>
        <v>163.62308365673189</v>
      </c>
      <c r="X340" s="170">
        <f t="shared" ref="X340:X351" si="100">W340+V340</f>
        <v>174.50797208889756</v>
      </c>
    </row>
    <row r="341" spans="18:24" x14ac:dyDescent="0.15">
      <c r="R341" s="166">
        <v>2</v>
      </c>
      <c r="S341" s="1">
        <f t="shared" ref="S341:S351" si="101">$U$337*$C$27</f>
        <v>136.06110540207087</v>
      </c>
      <c r="T341" s="167">
        <f t="shared" ref="T341:T351" si="102">$U$337*(100%-$C$27)</f>
        <v>204.09165810310631</v>
      </c>
      <c r="U341" s="168">
        <f>U340*(1+$W$337)</f>
        <v>0.80639038936900342</v>
      </c>
      <c r="V341" s="169">
        <f t="shared" ref="V341:V351" si="103">S341*$V$68</f>
        <v>10.884888432165669</v>
      </c>
      <c r="W341" s="170">
        <f t="shared" si="99"/>
        <v>164.57755164472943</v>
      </c>
      <c r="X341" s="170">
        <f t="shared" si="100"/>
        <v>175.46244007689509</v>
      </c>
    </row>
    <row r="342" spans="18:24" x14ac:dyDescent="0.15">
      <c r="R342" s="166">
        <v>3</v>
      </c>
      <c r="S342" s="1">
        <f t="shared" si="101"/>
        <v>136.06110540207087</v>
      </c>
      <c r="T342" s="167">
        <f t="shared" si="102"/>
        <v>204.09165810310631</v>
      </c>
      <c r="U342" s="168">
        <f t="shared" ref="U342:U351" si="104">U341*(1+$W$337)</f>
        <v>0.81109433330698899</v>
      </c>
      <c r="V342" s="169">
        <f t="shared" si="103"/>
        <v>10.884888432165669</v>
      </c>
      <c r="W342" s="170">
        <f t="shared" si="99"/>
        <v>165.53758736265695</v>
      </c>
      <c r="X342" s="170">
        <f t="shared" si="100"/>
        <v>176.42247579482262</v>
      </c>
    </row>
    <row r="343" spans="18:24" x14ac:dyDescent="0.15">
      <c r="R343" s="166">
        <v>4</v>
      </c>
      <c r="S343" s="1">
        <f t="shared" si="101"/>
        <v>136.06110540207087</v>
      </c>
      <c r="T343" s="167">
        <f t="shared" si="102"/>
        <v>204.09165810310631</v>
      </c>
      <c r="U343" s="168">
        <f t="shared" si="104"/>
        <v>0.81582571691794603</v>
      </c>
      <c r="V343" s="169">
        <f t="shared" si="103"/>
        <v>10.884888432165669</v>
      </c>
      <c r="W343" s="170">
        <f t="shared" si="99"/>
        <v>166.50322328893904</v>
      </c>
      <c r="X343" s="170">
        <f t="shared" si="100"/>
        <v>177.38811172110471</v>
      </c>
    </row>
    <row r="344" spans="18:24" x14ac:dyDescent="0.15">
      <c r="R344" s="166">
        <v>5</v>
      </c>
      <c r="S344" s="1">
        <f t="shared" si="101"/>
        <v>136.06110540207087</v>
      </c>
      <c r="T344" s="167">
        <f t="shared" si="102"/>
        <v>204.09165810310631</v>
      </c>
      <c r="U344" s="168">
        <f t="shared" si="104"/>
        <v>0.82058470026663366</v>
      </c>
      <c r="V344" s="169">
        <f t="shared" si="103"/>
        <v>10.884888432165669</v>
      </c>
      <c r="W344" s="170">
        <f t="shared" si="99"/>
        <v>167.47449209145776</v>
      </c>
      <c r="X344" s="170">
        <f t="shared" si="100"/>
        <v>178.35938052362343</v>
      </c>
    </row>
    <row r="345" spans="18:24" x14ac:dyDescent="0.15">
      <c r="R345" s="166">
        <v>6</v>
      </c>
      <c r="S345" s="1">
        <f t="shared" si="101"/>
        <v>136.06110540207087</v>
      </c>
      <c r="T345" s="167">
        <f t="shared" si="102"/>
        <v>204.09165810310631</v>
      </c>
      <c r="U345" s="168">
        <f t="shared" si="104"/>
        <v>0.82537144435152199</v>
      </c>
      <c r="V345" s="169">
        <f t="shared" si="103"/>
        <v>10.884888432165669</v>
      </c>
      <c r="W345" s="170">
        <f t="shared" si="99"/>
        <v>168.45142662865786</v>
      </c>
      <c r="X345" s="170">
        <f t="shared" si="100"/>
        <v>179.33631506082352</v>
      </c>
    </row>
    <row r="346" spans="18:24" x14ac:dyDescent="0.15">
      <c r="R346" s="166">
        <v>7</v>
      </c>
      <c r="S346" s="1">
        <f t="shared" si="101"/>
        <v>136.06110540207087</v>
      </c>
      <c r="T346" s="167">
        <f t="shared" si="102"/>
        <v>204.09165810310631</v>
      </c>
      <c r="U346" s="168">
        <f t="shared" si="104"/>
        <v>0.83018611111023888</v>
      </c>
      <c r="V346" s="169">
        <f t="shared" si="103"/>
        <v>10.884888432165669</v>
      </c>
      <c r="W346" s="170">
        <f t="shared" si="99"/>
        <v>169.43405995065831</v>
      </c>
      <c r="X346" s="170">
        <f t="shared" si="100"/>
        <v>180.31894838282398</v>
      </c>
    </row>
    <row r="347" spans="18:24" x14ac:dyDescent="0.15">
      <c r="R347" s="166">
        <v>8</v>
      </c>
      <c r="S347" s="1">
        <f t="shared" si="101"/>
        <v>136.06110540207087</v>
      </c>
      <c r="T347" s="167">
        <f t="shared" si="102"/>
        <v>204.09165810310631</v>
      </c>
      <c r="U347" s="168">
        <f t="shared" si="104"/>
        <v>0.83502886342504823</v>
      </c>
      <c r="V347" s="169">
        <f t="shared" si="103"/>
        <v>10.884888432165669</v>
      </c>
      <c r="W347" s="170">
        <f t="shared" si="99"/>
        <v>170.42242530037041</v>
      </c>
      <c r="X347" s="170">
        <f t="shared" si="100"/>
        <v>181.30731373253607</v>
      </c>
    </row>
    <row r="348" spans="18:24" x14ac:dyDescent="0.15">
      <c r="R348" s="166">
        <v>9</v>
      </c>
      <c r="S348" s="1">
        <f t="shared" si="101"/>
        <v>136.06110540207087</v>
      </c>
      <c r="T348" s="167">
        <f t="shared" si="102"/>
        <v>204.09165810310631</v>
      </c>
      <c r="U348" s="168">
        <f t="shared" si="104"/>
        <v>0.83989986512836068</v>
      </c>
      <c r="V348" s="169">
        <f t="shared" si="103"/>
        <v>10.884888432165669</v>
      </c>
      <c r="W348" s="170">
        <f t="shared" si="99"/>
        <v>171.41655611462249</v>
      </c>
      <c r="X348" s="170">
        <f t="shared" si="100"/>
        <v>182.30144454678816</v>
      </c>
    </row>
    <row r="349" spans="18:24" x14ac:dyDescent="0.15">
      <c r="R349" s="166">
        <v>10</v>
      </c>
      <c r="S349" s="1">
        <f t="shared" si="101"/>
        <v>136.06110540207087</v>
      </c>
      <c r="T349" s="167">
        <f t="shared" si="102"/>
        <v>204.09165810310631</v>
      </c>
      <c r="U349" s="168">
        <f t="shared" si="104"/>
        <v>0.84479928100827573</v>
      </c>
      <c r="V349" s="169">
        <f t="shared" si="103"/>
        <v>10.884888432165669</v>
      </c>
      <c r="W349" s="170">
        <f t="shared" si="99"/>
        <v>172.41648602529105</v>
      </c>
      <c r="X349" s="170">
        <f t="shared" si="100"/>
        <v>183.30137445745672</v>
      </c>
    </row>
    <row r="350" spans="18:24" x14ac:dyDescent="0.15">
      <c r="R350" s="166">
        <v>11</v>
      </c>
      <c r="S350" s="1">
        <f t="shared" si="101"/>
        <v>136.06110540207087</v>
      </c>
      <c r="T350" s="167">
        <f t="shared" si="102"/>
        <v>204.09165810310631</v>
      </c>
      <c r="U350" s="168">
        <f t="shared" si="104"/>
        <v>0.84972727681415694</v>
      </c>
      <c r="V350" s="169">
        <f t="shared" si="103"/>
        <v>10.884888432165669</v>
      </c>
      <c r="W350" s="170">
        <f t="shared" si="99"/>
        <v>173.42224886043849</v>
      </c>
      <c r="X350" s="170">
        <f t="shared" si="100"/>
        <v>184.30713729260415</v>
      </c>
    </row>
    <row r="351" spans="18:24" x14ac:dyDescent="0.15">
      <c r="R351" s="166">
        <v>12</v>
      </c>
      <c r="S351" s="1">
        <f t="shared" si="101"/>
        <v>136.06110540207087</v>
      </c>
      <c r="T351" s="167">
        <f t="shared" si="102"/>
        <v>204.09165810310631</v>
      </c>
      <c r="U351" s="168">
        <f t="shared" si="104"/>
        <v>0.85468401926223914</v>
      </c>
      <c r="V351" s="169">
        <f t="shared" si="103"/>
        <v>10.884888432165669</v>
      </c>
      <c r="W351" s="170">
        <f t="shared" si="99"/>
        <v>174.43387864545764</v>
      </c>
      <c r="X351" s="170">
        <f t="shared" si="100"/>
        <v>185.31876707762331</v>
      </c>
    </row>
    <row r="352" spans="18:24" ht="16" x14ac:dyDescent="0.3">
      <c r="S352" s="118">
        <f>IF($C$17&gt;=S337,SUM(S340:S351),"")</f>
        <v>1632.73326482485</v>
      </c>
      <c r="T352" s="119">
        <f>IF($C$17&gt;=S337,SUM(T340:T351),"")</f>
        <v>2449.0998972372759</v>
      </c>
      <c r="U352" s="163">
        <f>IF(Y353="",0,AVERAGE(U340:U351))</f>
        <v>0.82794214391066168</v>
      </c>
      <c r="V352" s="120">
        <f>IF($C$17&gt;=S337,SUM(V340:V351),"")</f>
        <v>130.61866118598803</v>
      </c>
      <c r="W352" s="121">
        <f>IF($C$17&gt;=S337,SUM(W340:W351),"")</f>
        <v>2027.7130195700115</v>
      </c>
      <c r="X352" s="121">
        <f>IF($C$17&gt;=S337,SUM(X340:X351),"")</f>
        <v>2158.3316807559995</v>
      </c>
    </row>
    <row r="353" spans="18:25" x14ac:dyDescent="0.15">
      <c r="W353" s="156" t="s">
        <v>53</v>
      </c>
      <c r="X353" s="117">
        <f>IF(AND($D$38="Yes",$D$40+1=S337,$C$17&gt;=S337),$B$40,0)</f>
        <v>800</v>
      </c>
      <c r="Y353" s="142">
        <f>IF(X352="","",IF($D$38="No",X352,IF($D$38="Yes",X352-X353,X352)))</f>
        <v>1358.3316807559995</v>
      </c>
    </row>
    <row r="354" spans="18:25" ht="14" thickBot="1" x14ac:dyDescent="0.2"/>
    <row r="355" spans="18:25" ht="17" thickBot="1" x14ac:dyDescent="0.25">
      <c r="R355" s="126" t="s">
        <v>48</v>
      </c>
      <c r="S355" s="127">
        <v>17</v>
      </c>
      <c r="T355" s="154" t="s">
        <v>66</v>
      </c>
      <c r="U355" s="143">
        <f>U337-($C$36*U337)</f>
        <v>339.13230521466164</v>
      </c>
      <c r="V355" s="155" t="s">
        <v>68</v>
      </c>
      <c r="W355" s="19">
        <f>ROUND($C$25/12,15)</f>
        <v>5.8333333333329997E-3</v>
      </c>
      <c r="X355" s="161">
        <f>IF(X370="",0,(U355*12-(U355*12)*$C$36)/POWER(1+0,S355))</f>
        <v>4057.3788995882119</v>
      </c>
    </row>
    <row r="356" spans="18:25" x14ac:dyDescent="0.15">
      <c r="U356" s="182" t="s">
        <v>76</v>
      </c>
      <c r="V356" s="166">
        <f>IF(S355&lt;=$C$31,$C$29,IF(AND(S355&gt;$C$31,$B$34="Yes"),AVERAGE(U358:U369),$D$34))</f>
        <v>0.08</v>
      </c>
    </row>
    <row r="357" spans="18:25" x14ac:dyDescent="0.15">
      <c r="R357" s="122" t="s">
        <v>70</v>
      </c>
      <c r="S357" s="124">
        <f>$C$24</f>
        <v>0</v>
      </c>
      <c r="T357" s="125">
        <f>100%-$S$87</f>
        <v>1</v>
      </c>
      <c r="U357" s="112" t="s">
        <v>72</v>
      </c>
      <c r="V357" s="115" t="s">
        <v>71</v>
      </c>
      <c r="W357" s="115" t="s">
        <v>67</v>
      </c>
      <c r="X357" s="116" t="s">
        <v>69</v>
      </c>
    </row>
    <row r="358" spans="18:25" x14ac:dyDescent="0.15">
      <c r="R358" s="166">
        <v>1</v>
      </c>
      <c r="S358" s="1">
        <f>$U$355*$C$27</f>
        <v>135.65292208586467</v>
      </c>
      <c r="T358" s="167">
        <f>$U$355*(100%-$C$27)</f>
        <v>203.47938312879697</v>
      </c>
      <c r="U358" s="168">
        <f>U351*(1+$W$355)</f>
        <v>0.85966967604126854</v>
      </c>
      <c r="V358" s="169">
        <f>S358*$V$68</f>
        <v>10.852233766869174</v>
      </c>
      <c r="W358" s="170">
        <f t="shared" ref="W358:W369" si="105">T358*U358</f>
        <v>174.92505537541004</v>
      </c>
      <c r="X358" s="170">
        <f t="shared" ref="X358:X369" si="106">W358+V358</f>
        <v>185.77728914227922</v>
      </c>
    </row>
    <row r="359" spans="18:25" x14ac:dyDescent="0.15">
      <c r="R359" s="166">
        <v>2</v>
      </c>
      <c r="S359" s="1">
        <f t="shared" ref="S359:S369" si="107">$U$355*$C$27</f>
        <v>135.65292208586467</v>
      </c>
      <c r="T359" s="167">
        <f t="shared" ref="T359:T369" si="108">$U$355*(100%-$C$27)</f>
        <v>203.47938312879697</v>
      </c>
      <c r="U359" s="168">
        <f>U358*(1+$W$355)</f>
        <v>0.86468441581817557</v>
      </c>
      <c r="V359" s="169">
        <f t="shared" ref="V359:V369" si="109">S359*$V$68</f>
        <v>10.852233766869174</v>
      </c>
      <c r="W359" s="170">
        <f t="shared" si="105"/>
        <v>175.94545153176654</v>
      </c>
      <c r="X359" s="170">
        <f t="shared" si="106"/>
        <v>186.79768529863571</v>
      </c>
    </row>
    <row r="360" spans="18:25" x14ac:dyDescent="0.15">
      <c r="R360" s="166">
        <v>3</v>
      </c>
      <c r="S360" s="1">
        <f t="shared" si="107"/>
        <v>135.65292208586467</v>
      </c>
      <c r="T360" s="167">
        <f t="shared" si="108"/>
        <v>203.47938312879697</v>
      </c>
      <c r="U360" s="168">
        <f t="shared" ref="U360:U369" si="110">U359*(1+$W$355)</f>
        <v>0.86972840824378128</v>
      </c>
      <c r="V360" s="169">
        <f t="shared" si="109"/>
        <v>10.852233766869174</v>
      </c>
      <c r="W360" s="170">
        <f t="shared" si="105"/>
        <v>176.97179999903511</v>
      </c>
      <c r="X360" s="170">
        <f t="shared" si="106"/>
        <v>187.82403376590429</v>
      </c>
    </row>
    <row r="361" spans="18:25" x14ac:dyDescent="0.15">
      <c r="R361" s="166">
        <v>4</v>
      </c>
      <c r="S361" s="1">
        <f t="shared" si="107"/>
        <v>135.65292208586467</v>
      </c>
      <c r="T361" s="167">
        <f t="shared" si="108"/>
        <v>203.47938312879697</v>
      </c>
      <c r="U361" s="168">
        <f t="shared" si="110"/>
        <v>0.87480182395853634</v>
      </c>
      <c r="V361" s="169">
        <f t="shared" si="109"/>
        <v>10.852233766869174</v>
      </c>
      <c r="W361" s="170">
        <f t="shared" si="105"/>
        <v>178.00413549902942</v>
      </c>
      <c r="X361" s="170">
        <f t="shared" si="106"/>
        <v>188.85636926589859</v>
      </c>
    </row>
    <row r="362" spans="18:25" x14ac:dyDescent="0.15">
      <c r="R362" s="166">
        <v>5</v>
      </c>
      <c r="S362" s="1">
        <f t="shared" si="107"/>
        <v>135.65292208586467</v>
      </c>
      <c r="T362" s="167">
        <f t="shared" si="108"/>
        <v>203.47938312879697</v>
      </c>
      <c r="U362" s="168">
        <f t="shared" si="110"/>
        <v>0.87990483459829405</v>
      </c>
      <c r="V362" s="169">
        <f t="shared" si="109"/>
        <v>10.852233766869174</v>
      </c>
      <c r="W362" s="170">
        <f t="shared" si="105"/>
        <v>179.042492956107</v>
      </c>
      <c r="X362" s="170">
        <f t="shared" si="106"/>
        <v>189.89472672297617</v>
      </c>
    </row>
    <row r="363" spans="18:25" x14ac:dyDescent="0.15">
      <c r="R363" s="166">
        <v>6</v>
      </c>
      <c r="S363" s="1">
        <f t="shared" si="107"/>
        <v>135.65292208586467</v>
      </c>
      <c r="T363" s="167">
        <f t="shared" si="108"/>
        <v>203.47938312879697</v>
      </c>
      <c r="U363" s="168">
        <f t="shared" si="110"/>
        <v>0.88503761280011706</v>
      </c>
      <c r="V363" s="169">
        <f t="shared" si="109"/>
        <v>10.852233766869174</v>
      </c>
      <c r="W363" s="170">
        <f t="shared" si="105"/>
        <v>180.08690749835088</v>
      </c>
      <c r="X363" s="170">
        <f t="shared" si="106"/>
        <v>190.93914126522006</v>
      </c>
    </row>
    <row r="364" spans="18:25" x14ac:dyDescent="0.15">
      <c r="R364" s="166">
        <v>7</v>
      </c>
      <c r="S364" s="1">
        <f t="shared" si="107"/>
        <v>135.65292208586467</v>
      </c>
      <c r="T364" s="167">
        <f t="shared" si="108"/>
        <v>203.47938312879697</v>
      </c>
      <c r="U364" s="168">
        <f t="shared" si="110"/>
        <v>0.89020033220811734</v>
      </c>
      <c r="V364" s="169">
        <f t="shared" si="109"/>
        <v>10.852233766869174</v>
      </c>
      <c r="W364" s="170">
        <f t="shared" si="105"/>
        <v>181.13741445875786</v>
      </c>
      <c r="X364" s="170">
        <f t="shared" si="106"/>
        <v>191.98964822562704</v>
      </c>
    </row>
    <row r="365" spans="18:25" x14ac:dyDescent="0.15">
      <c r="R365" s="166">
        <v>8</v>
      </c>
      <c r="S365" s="1">
        <f t="shared" si="107"/>
        <v>135.65292208586467</v>
      </c>
      <c r="T365" s="167">
        <f t="shared" si="108"/>
        <v>203.47938312879697</v>
      </c>
      <c r="U365" s="168">
        <f t="shared" si="110"/>
        <v>0.89539316747933095</v>
      </c>
      <c r="V365" s="169">
        <f t="shared" si="109"/>
        <v>10.852233766869174</v>
      </c>
      <c r="W365" s="170">
        <f t="shared" si="105"/>
        <v>182.19404937643387</v>
      </c>
      <c r="X365" s="170">
        <f t="shared" si="106"/>
        <v>193.04628314330304</v>
      </c>
    </row>
    <row r="366" spans="18:25" x14ac:dyDescent="0.15">
      <c r="R366" s="166">
        <v>9</v>
      </c>
      <c r="S366" s="1">
        <f t="shared" si="107"/>
        <v>135.65292208586467</v>
      </c>
      <c r="T366" s="167">
        <f t="shared" si="108"/>
        <v>203.47938312879697</v>
      </c>
      <c r="U366" s="168">
        <f t="shared" si="110"/>
        <v>0.90061629428962664</v>
      </c>
      <c r="V366" s="169">
        <f t="shared" si="109"/>
        <v>10.852233766869174</v>
      </c>
      <c r="W366" s="170">
        <f t="shared" si="105"/>
        <v>183.25684799779631</v>
      </c>
      <c r="X366" s="170">
        <f t="shared" si="106"/>
        <v>194.10908176466549</v>
      </c>
    </row>
    <row r="367" spans="18:25" x14ac:dyDescent="0.15">
      <c r="R367" s="166">
        <v>10</v>
      </c>
      <c r="S367" s="1">
        <f t="shared" si="107"/>
        <v>135.65292208586467</v>
      </c>
      <c r="T367" s="167">
        <f t="shared" si="108"/>
        <v>203.47938312879697</v>
      </c>
      <c r="U367" s="168">
        <f t="shared" si="110"/>
        <v>0.90586988933964907</v>
      </c>
      <c r="V367" s="169">
        <f t="shared" si="109"/>
        <v>10.852233766869174</v>
      </c>
      <c r="W367" s="170">
        <f t="shared" si="105"/>
        <v>184.32584627778337</v>
      </c>
      <c r="X367" s="170">
        <f t="shared" si="106"/>
        <v>195.17808004465255</v>
      </c>
    </row>
    <row r="368" spans="18:25" x14ac:dyDescent="0.15">
      <c r="R368" s="166">
        <v>11</v>
      </c>
      <c r="S368" s="1">
        <f t="shared" si="107"/>
        <v>135.65292208586467</v>
      </c>
      <c r="T368" s="167">
        <f t="shared" si="108"/>
        <v>203.47938312879697</v>
      </c>
      <c r="U368" s="168">
        <f t="shared" si="110"/>
        <v>0.91115413036079662</v>
      </c>
      <c r="V368" s="169">
        <f t="shared" si="109"/>
        <v>10.852233766869174</v>
      </c>
      <c r="W368" s="170">
        <f t="shared" si="105"/>
        <v>185.40108038107036</v>
      </c>
      <c r="X368" s="170">
        <f t="shared" si="106"/>
        <v>196.25331414793953</v>
      </c>
    </row>
    <row r="369" spans="18:25" x14ac:dyDescent="0.15">
      <c r="R369" s="166">
        <v>12</v>
      </c>
      <c r="S369" s="1">
        <f t="shared" si="107"/>
        <v>135.65292208586467</v>
      </c>
      <c r="T369" s="167">
        <f t="shared" si="108"/>
        <v>203.47938312879697</v>
      </c>
      <c r="U369" s="168">
        <f t="shared" si="110"/>
        <v>0.91646919612123423</v>
      </c>
      <c r="V369" s="169">
        <f t="shared" si="109"/>
        <v>10.852233766869174</v>
      </c>
      <c r="W369" s="170">
        <f t="shared" si="105"/>
        <v>186.48258668329319</v>
      </c>
      <c r="X369" s="170">
        <f t="shared" si="106"/>
        <v>197.33482045016237</v>
      </c>
    </row>
    <row r="370" spans="18:25" ht="16" x14ac:dyDescent="0.3">
      <c r="S370" s="118">
        <f>IF($C$17&gt;=S355,SUM(S358:S369),"")</f>
        <v>1627.8350650303762</v>
      </c>
      <c r="T370" s="119">
        <f>IF($C$17&gt;=S355,SUM(T358:T369),"")</f>
        <v>2441.7525975455642</v>
      </c>
      <c r="U370" s="163">
        <f>IF(Y371="",0,AVERAGE(U358:U369))</f>
        <v>0.887794148438244</v>
      </c>
      <c r="V370" s="120">
        <f>IF($C$17&gt;=S355,SUM(V358:V369),"")</f>
        <v>130.22680520243009</v>
      </c>
      <c r="W370" s="121">
        <f>IF($C$17&gt;=S355,SUM(W358:W369),"")</f>
        <v>2167.7736680348339</v>
      </c>
      <c r="X370" s="121">
        <f>IF($C$17&gt;=S355,SUM(X358:X369),"")</f>
        <v>2298.0004732372636</v>
      </c>
    </row>
    <row r="371" spans="18:25" x14ac:dyDescent="0.15">
      <c r="W371" s="156" t="s">
        <v>53</v>
      </c>
      <c r="X371" s="117">
        <f>IF(AND($D$38="Yes",$D$40+1=S355,$C$17&gt;=S355),$B$40,0)</f>
        <v>0</v>
      </c>
      <c r="Y371" s="142">
        <f>IF(X370="","",IF($D$38="No",X370,IF($D$38="Yes",X370-X371,X370)))</f>
        <v>2298.0004732372636</v>
      </c>
    </row>
    <row r="372" spans="18:25" ht="14" thickBot="1" x14ac:dyDescent="0.2"/>
    <row r="373" spans="18:25" ht="17" thickBot="1" x14ac:dyDescent="0.25">
      <c r="R373" s="126" t="s">
        <v>48</v>
      </c>
      <c r="S373" s="127">
        <v>18</v>
      </c>
      <c r="T373" s="154" t="s">
        <v>66</v>
      </c>
      <c r="U373" s="143">
        <f>U355-($C$36*U355)</f>
        <v>338.11490829901766</v>
      </c>
      <c r="V373" s="155" t="s">
        <v>68</v>
      </c>
      <c r="W373" s="19">
        <f>ROUND($C$25/12,15)</f>
        <v>5.8333333333329997E-3</v>
      </c>
      <c r="X373" s="161">
        <f>IF(X388="",0,(U373*12-(U373*12)*$C$36)/POWER(1+0,S373))</f>
        <v>4045.2067628894474</v>
      </c>
    </row>
    <row r="374" spans="18:25" x14ac:dyDescent="0.15">
      <c r="U374" s="182" t="s">
        <v>76</v>
      </c>
      <c r="V374" s="166">
        <f>IF(S373&lt;=$C$31,$C$29,IF(AND(S373&gt;$C$31,$B$34="Yes"),AVERAGE(U376:U387),$D$34))</f>
        <v>0.08</v>
      </c>
    </row>
    <row r="375" spans="18:25" x14ac:dyDescent="0.15">
      <c r="R375" s="122" t="s">
        <v>70</v>
      </c>
      <c r="S375" s="124">
        <f>$C$24</f>
        <v>0</v>
      </c>
      <c r="T375" s="125">
        <f>100%-$S$87</f>
        <v>1</v>
      </c>
      <c r="U375" s="112" t="s">
        <v>72</v>
      </c>
      <c r="V375" s="115" t="s">
        <v>71</v>
      </c>
      <c r="W375" s="115" t="s">
        <v>67</v>
      </c>
      <c r="X375" s="116" t="s">
        <v>69</v>
      </c>
    </row>
    <row r="376" spans="18:25" x14ac:dyDescent="0.15">
      <c r="R376" s="166">
        <v>1</v>
      </c>
      <c r="S376" s="1">
        <f>$U$373*$C$27</f>
        <v>135.24596331960706</v>
      </c>
      <c r="T376" s="167">
        <f>$U$373*(100%-$C$27)</f>
        <v>202.8689449794106</v>
      </c>
      <c r="U376" s="168">
        <f>U369*(1+$W$373)</f>
        <v>0.92181526643194101</v>
      </c>
      <c r="V376" s="169">
        <f>S376*$V$68</f>
        <v>10.819677065568564</v>
      </c>
      <c r="W376" s="170">
        <f t="shared" ref="W376:W387" si="111">T376*U376</f>
        <v>187.00769056696217</v>
      </c>
      <c r="X376" s="170">
        <f t="shared" ref="X376:X387" si="112">W376+V376</f>
        <v>197.82736763253072</v>
      </c>
    </row>
    <row r="377" spans="18:25" x14ac:dyDescent="0.15">
      <c r="R377" s="166">
        <v>2</v>
      </c>
      <c r="S377" s="1">
        <f t="shared" ref="S377:S387" si="113">$U$373*$C$27</f>
        <v>135.24596331960706</v>
      </c>
      <c r="T377" s="167">
        <f t="shared" ref="T377:T387" si="114">$U$373*(100%-$C$27)</f>
        <v>202.8689449794106</v>
      </c>
      <c r="U377" s="168">
        <f>U376*(1+$W$373)</f>
        <v>0.92719252215279357</v>
      </c>
      <c r="V377" s="169">
        <f t="shared" ref="V377:V387" si="115">S377*$V$68</f>
        <v>10.819677065568564</v>
      </c>
      <c r="W377" s="170">
        <f t="shared" si="111"/>
        <v>188.09856876193604</v>
      </c>
      <c r="X377" s="170">
        <f t="shared" si="112"/>
        <v>198.91824582750459</v>
      </c>
    </row>
    <row r="378" spans="18:25" x14ac:dyDescent="0.15">
      <c r="R378" s="166">
        <v>3</v>
      </c>
      <c r="S378" s="1">
        <f t="shared" si="113"/>
        <v>135.24596331960706</v>
      </c>
      <c r="T378" s="167">
        <f t="shared" si="114"/>
        <v>202.8689449794106</v>
      </c>
      <c r="U378" s="168">
        <f t="shared" ref="U378:U387" si="116">U377*(1+$W$373)</f>
        <v>0.93260114519868453</v>
      </c>
      <c r="V378" s="169">
        <f t="shared" si="115"/>
        <v>10.819677065568564</v>
      </c>
      <c r="W378" s="170">
        <f t="shared" si="111"/>
        <v>189.19581041304724</v>
      </c>
      <c r="X378" s="170">
        <f t="shared" si="112"/>
        <v>200.0154874786158</v>
      </c>
    </row>
    <row r="379" spans="18:25" x14ac:dyDescent="0.15">
      <c r="R379" s="166">
        <v>4</v>
      </c>
      <c r="S379" s="1">
        <f t="shared" si="113"/>
        <v>135.24596331960706</v>
      </c>
      <c r="T379" s="167">
        <f t="shared" si="114"/>
        <v>202.8689449794106</v>
      </c>
      <c r="U379" s="168">
        <f t="shared" si="116"/>
        <v>0.93804131854567652</v>
      </c>
      <c r="V379" s="169">
        <f t="shared" si="115"/>
        <v>10.819677065568564</v>
      </c>
      <c r="W379" s="170">
        <f t="shared" si="111"/>
        <v>190.29945264045662</v>
      </c>
      <c r="X379" s="170">
        <f t="shared" si="112"/>
        <v>201.11912970602518</v>
      </c>
    </row>
    <row r="380" spans="18:25" x14ac:dyDescent="0.15">
      <c r="R380" s="166">
        <v>5</v>
      </c>
      <c r="S380" s="1">
        <f t="shared" si="113"/>
        <v>135.24596331960706</v>
      </c>
      <c r="T380" s="167">
        <f t="shared" si="114"/>
        <v>202.8689449794106</v>
      </c>
      <c r="U380" s="168">
        <f t="shared" si="116"/>
        <v>0.94351322623719258</v>
      </c>
      <c r="V380" s="169">
        <f t="shared" si="115"/>
        <v>10.819677065568564</v>
      </c>
      <c r="W380" s="170">
        <f t="shared" si="111"/>
        <v>191.40953278085919</v>
      </c>
      <c r="X380" s="170">
        <f t="shared" si="112"/>
        <v>202.22920984642775</v>
      </c>
    </row>
    <row r="381" spans="18:25" x14ac:dyDescent="0.15">
      <c r="R381" s="166">
        <v>6</v>
      </c>
      <c r="S381" s="1">
        <f t="shared" si="113"/>
        <v>135.24596331960706</v>
      </c>
      <c r="T381" s="167">
        <f t="shared" si="114"/>
        <v>202.8689449794106</v>
      </c>
      <c r="U381" s="168">
        <f t="shared" si="116"/>
        <v>0.94901705339024245</v>
      </c>
      <c r="V381" s="169">
        <f t="shared" si="115"/>
        <v>10.819677065568564</v>
      </c>
      <c r="W381" s="170">
        <f t="shared" si="111"/>
        <v>192.52608838874747</v>
      </c>
      <c r="X381" s="170">
        <f t="shared" si="112"/>
        <v>203.34576545431602</v>
      </c>
    </row>
    <row r="382" spans="18:25" x14ac:dyDescent="0.15">
      <c r="R382" s="166">
        <v>7</v>
      </c>
      <c r="S382" s="1">
        <f t="shared" si="113"/>
        <v>135.24596331960706</v>
      </c>
      <c r="T382" s="167">
        <f t="shared" si="114"/>
        <v>202.8689449794106</v>
      </c>
      <c r="U382" s="168">
        <f t="shared" si="116"/>
        <v>0.95455298620168516</v>
      </c>
      <c r="V382" s="169">
        <f t="shared" si="115"/>
        <v>10.819677065568564</v>
      </c>
      <c r="W382" s="170">
        <f t="shared" si="111"/>
        <v>193.64915723768175</v>
      </c>
      <c r="X382" s="170">
        <f t="shared" si="112"/>
        <v>204.4688343032503</v>
      </c>
    </row>
    <row r="383" spans="18:25" x14ac:dyDescent="0.15">
      <c r="R383" s="166">
        <v>8</v>
      </c>
      <c r="S383" s="1">
        <f t="shared" si="113"/>
        <v>135.24596331960706</v>
      </c>
      <c r="T383" s="167">
        <f t="shared" si="114"/>
        <v>202.8689449794106</v>
      </c>
      <c r="U383" s="168">
        <f t="shared" si="116"/>
        <v>0.96012121195452793</v>
      </c>
      <c r="V383" s="169">
        <f t="shared" si="115"/>
        <v>10.819677065568564</v>
      </c>
      <c r="W383" s="170">
        <f t="shared" si="111"/>
        <v>194.77877732156816</v>
      </c>
      <c r="X383" s="170">
        <f t="shared" si="112"/>
        <v>205.59845438713671</v>
      </c>
    </row>
    <row r="384" spans="18:25" x14ac:dyDescent="0.15">
      <c r="R384" s="166">
        <v>9</v>
      </c>
      <c r="S384" s="1">
        <f t="shared" si="113"/>
        <v>135.24596331960706</v>
      </c>
      <c r="T384" s="167">
        <f t="shared" si="114"/>
        <v>202.8689449794106</v>
      </c>
      <c r="U384" s="168">
        <f t="shared" si="116"/>
        <v>0.9657219190242623</v>
      </c>
      <c r="V384" s="169">
        <f t="shared" si="115"/>
        <v>10.819677065568564</v>
      </c>
      <c r="W384" s="170">
        <f t="shared" si="111"/>
        <v>195.91498685594388</v>
      </c>
      <c r="X384" s="170">
        <f t="shared" si="112"/>
        <v>206.73466392151244</v>
      </c>
    </row>
    <row r="385" spans="18:25" x14ac:dyDescent="0.15">
      <c r="R385" s="166">
        <v>10</v>
      </c>
      <c r="S385" s="1">
        <f t="shared" si="113"/>
        <v>135.24596331960706</v>
      </c>
      <c r="T385" s="167">
        <f t="shared" si="114"/>
        <v>202.8689449794106</v>
      </c>
      <c r="U385" s="168">
        <f t="shared" si="116"/>
        <v>0.97135529688523681</v>
      </c>
      <c r="V385" s="169">
        <f t="shared" si="115"/>
        <v>10.819677065568564</v>
      </c>
      <c r="W385" s="170">
        <f t="shared" si="111"/>
        <v>197.05782427927016</v>
      </c>
      <c r="X385" s="170">
        <f t="shared" si="112"/>
        <v>207.87750134483872</v>
      </c>
    </row>
    <row r="386" spans="18:25" x14ac:dyDescent="0.15">
      <c r="R386" s="166">
        <v>11</v>
      </c>
      <c r="S386" s="1">
        <f t="shared" si="113"/>
        <v>135.24596331960706</v>
      </c>
      <c r="T386" s="167">
        <f t="shared" si="114"/>
        <v>202.8689449794106</v>
      </c>
      <c r="U386" s="168">
        <f t="shared" si="116"/>
        <v>0.97702153611706699</v>
      </c>
      <c r="V386" s="169">
        <f t="shared" si="115"/>
        <v>10.819677065568564</v>
      </c>
      <c r="W386" s="170">
        <f t="shared" si="111"/>
        <v>198.20732825423249</v>
      </c>
      <c r="X386" s="170">
        <f t="shared" si="112"/>
        <v>209.02700531980105</v>
      </c>
    </row>
    <row r="387" spans="18:25" x14ac:dyDescent="0.15">
      <c r="R387" s="166">
        <v>12</v>
      </c>
      <c r="S387" s="1">
        <f t="shared" si="113"/>
        <v>135.24596331960706</v>
      </c>
      <c r="T387" s="167">
        <f t="shared" si="114"/>
        <v>202.8689449794106</v>
      </c>
      <c r="U387" s="168">
        <f t="shared" si="116"/>
        <v>0.98272082841108277</v>
      </c>
      <c r="V387" s="169">
        <f t="shared" si="115"/>
        <v>10.819677065568564</v>
      </c>
      <c r="W387" s="170">
        <f t="shared" si="111"/>
        <v>199.36353766904875</v>
      </c>
      <c r="X387" s="170">
        <f t="shared" si="112"/>
        <v>210.18321473461731</v>
      </c>
    </row>
    <row r="388" spans="18:25" ht="16" x14ac:dyDescent="0.3">
      <c r="S388" s="118">
        <f>IF($C$17&gt;=S373,SUM(S376:S387),"")</f>
        <v>1622.9515598352843</v>
      </c>
      <c r="T388" s="119">
        <f>IF($C$17&gt;=S373,SUM(T376:T387),"")</f>
        <v>2434.4273397529273</v>
      </c>
      <c r="U388" s="163">
        <f>IF(Y389="",0,AVERAGE(U376:U387))</f>
        <v>0.95197285921253283</v>
      </c>
      <c r="V388" s="120">
        <f>IF($C$17&gt;=S373,SUM(V376:V387),"")</f>
        <v>129.83612478682281</v>
      </c>
      <c r="W388" s="121">
        <f>IF($C$17&gt;=S373,SUM(W376:W387),"")</f>
        <v>2317.5087551697538</v>
      </c>
      <c r="X388" s="121">
        <f>IF($C$17&gt;=S373,SUM(X376:X387),"")</f>
        <v>2447.3448799565767</v>
      </c>
    </row>
    <row r="389" spans="18:25" x14ac:dyDescent="0.15">
      <c r="W389" s="156" t="s">
        <v>53</v>
      </c>
      <c r="X389" s="117">
        <f>IF(AND($D$38="Yes",$D$40+1=S373,$C$17&gt;=S373),$B$40,0)</f>
        <v>0</v>
      </c>
      <c r="Y389" s="142">
        <f>IF(X388="","",IF($D$38="No",X388,IF($D$38="Yes",X388-X389,X388)))</f>
        <v>2447.3448799565767</v>
      </c>
    </row>
    <row r="390" spans="18:25" ht="14" thickBot="1" x14ac:dyDescent="0.2"/>
    <row r="391" spans="18:25" ht="17" thickBot="1" x14ac:dyDescent="0.25">
      <c r="R391" s="126" t="s">
        <v>48</v>
      </c>
      <c r="S391" s="127">
        <v>19</v>
      </c>
      <c r="T391" s="154" t="s">
        <v>66</v>
      </c>
      <c r="U391" s="143">
        <f>U373-($C$36*U373)</f>
        <v>337.1005635741206</v>
      </c>
      <c r="V391" s="155" t="s">
        <v>68</v>
      </c>
      <c r="W391" s="19">
        <f>ROUND($C$25/12,15)</f>
        <v>5.8333333333329997E-3</v>
      </c>
      <c r="X391" s="161">
        <f>IF(X406="",0,(U391*12-(U391*12)*$C$36)/POWER(1+0,S391))</f>
        <v>4033.0711426007792</v>
      </c>
    </row>
    <row r="392" spans="18:25" x14ac:dyDescent="0.15">
      <c r="U392" s="182" t="s">
        <v>76</v>
      </c>
      <c r="V392" s="166">
        <f>IF(S391&lt;=$C$31,$C$29,IF(AND(S391&gt;$C$31,$B$34="Yes"),AVERAGE(U394:U405),$D$34))</f>
        <v>0.08</v>
      </c>
    </row>
    <row r="393" spans="18:25" x14ac:dyDescent="0.15">
      <c r="R393" s="122" t="s">
        <v>70</v>
      </c>
      <c r="S393" s="124">
        <f>$C$24</f>
        <v>0</v>
      </c>
      <c r="T393" s="125">
        <f>100%-$S$87</f>
        <v>1</v>
      </c>
      <c r="U393" s="112" t="s">
        <v>72</v>
      </c>
      <c r="V393" s="115" t="s">
        <v>71</v>
      </c>
      <c r="W393" s="115" t="s">
        <v>67</v>
      </c>
      <c r="X393" s="116" t="s">
        <v>69</v>
      </c>
    </row>
    <row r="394" spans="18:25" x14ac:dyDescent="0.15">
      <c r="R394" s="166">
        <v>1</v>
      </c>
      <c r="S394" s="1">
        <f>$U$391*$C$27</f>
        <v>134.84022542964826</v>
      </c>
      <c r="T394" s="167">
        <f>$U$391*(100%-$C$27)</f>
        <v>202.26033814447234</v>
      </c>
      <c r="U394" s="168">
        <f>U387*(1+$W$391)</f>
        <v>0.98845336657681371</v>
      </c>
      <c r="V394" s="169">
        <f>S394*$V$68</f>
        <v>10.787218034371861</v>
      </c>
      <c r="W394" s="170">
        <f t="shared" ref="W394:W405" si="117">T394*U394</f>
        <v>199.92491216386841</v>
      </c>
      <c r="X394" s="170">
        <f t="shared" ref="X394:X405" si="118">W394+V394</f>
        <v>210.71213019824029</v>
      </c>
    </row>
    <row r="395" spans="18:25" x14ac:dyDescent="0.15">
      <c r="R395" s="166">
        <v>2</v>
      </c>
      <c r="S395" s="1">
        <f t="shared" ref="S395:S405" si="119">$U$391*$C$27</f>
        <v>134.84022542964826</v>
      </c>
      <c r="T395" s="167">
        <f t="shared" ref="T395:T405" si="120">$U$391*(100%-$C$27)</f>
        <v>202.26033814447234</v>
      </c>
      <c r="U395" s="168">
        <f>U394*(1+$W$391)</f>
        <v>0.99421934454851135</v>
      </c>
      <c r="V395" s="169">
        <f t="shared" ref="V395:V405" si="121">S395*$V$68</f>
        <v>10.787218034371861</v>
      </c>
      <c r="W395" s="170">
        <f t="shared" si="117"/>
        <v>201.09114081815756</v>
      </c>
      <c r="X395" s="170">
        <f t="shared" si="118"/>
        <v>211.8783588525294</v>
      </c>
    </row>
    <row r="396" spans="18:25" x14ac:dyDescent="0.15">
      <c r="R396" s="166">
        <v>3</v>
      </c>
      <c r="S396" s="1">
        <f t="shared" si="119"/>
        <v>134.84022542964826</v>
      </c>
      <c r="T396" s="167">
        <f t="shared" si="120"/>
        <v>202.26033814447234</v>
      </c>
      <c r="U396" s="168">
        <f t="shared" ref="U396:U405" si="122">U395*(1+$W$391)</f>
        <v>1.0000189573917107</v>
      </c>
      <c r="V396" s="169">
        <f t="shared" si="121"/>
        <v>10.787218034371861</v>
      </c>
      <c r="W396" s="170">
        <f t="shared" si="117"/>
        <v>202.26417247293008</v>
      </c>
      <c r="X396" s="170">
        <f t="shared" si="118"/>
        <v>213.05139050730196</v>
      </c>
    </row>
    <row r="397" spans="18:25" x14ac:dyDescent="0.15">
      <c r="R397" s="166">
        <v>4</v>
      </c>
      <c r="S397" s="1">
        <f t="shared" si="119"/>
        <v>134.84022542964826</v>
      </c>
      <c r="T397" s="167">
        <f t="shared" si="120"/>
        <v>202.26033814447234</v>
      </c>
      <c r="U397" s="168">
        <f t="shared" si="122"/>
        <v>1.0058524013098284</v>
      </c>
      <c r="V397" s="169">
        <f t="shared" si="121"/>
        <v>10.787218034371861</v>
      </c>
      <c r="W397" s="170">
        <f t="shared" si="117"/>
        <v>203.4440468123554</v>
      </c>
      <c r="X397" s="170">
        <f t="shared" si="118"/>
        <v>214.23126484672724</v>
      </c>
    </row>
    <row r="398" spans="18:25" x14ac:dyDescent="0.15">
      <c r="R398" s="166">
        <v>5</v>
      </c>
      <c r="S398" s="1">
        <f t="shared" si="119"/>
        <v>134.84022542964826</v>
      </c>
      <c r="T398" s="167">
        <f t="shared" si="120"/>
        <v>202.26033814447234</v>
      </c>
      <c r="U398" s="168">
        <f t="shared" si="122"/>
        <v>1.011719873650802</v>
      </c>
      <c r="V398" s="169">
        <f t="shared" si="121"/>
        <v>10.787218034371861</v>
      </c>
      <c r="W398" s="170">
        <f t="shared" si="117"/>
        <v>204.63080375209404</v>
      </c>
      <c r="X398" s="170">
        <f t="shared" si="118"/>
        <v>215.41802178646589</v>
      </c>
    </row>
    <row r="399" spans="18:25" x14ac:dyDescent="0.15">
      <c r="R399" s="166">
        <v>6</v>
      </c>
      <c r="S399" s="1">
        <f t="shared" si="119"/>
        <v>134.84022542964826</v>
      </c>
      <c r="T399" s="167">
        <f t="shared" si="120"/>
        <v>202.26033814447234</v>
      </c>
      <c r="U399" s="168">
        <f t="shared" si="122"/>
        <v>1.0176215729137645</v>
      </c>
      <c r="V399" s="169">
        <f t="shared" si="121"/>
        <v>10.787218034371861</v>
      </c>
      <c r="W399" s="170">
        <f t="shared" si="117"/>
        <v>205.82448344064784</v>
      </c>
      <c r="X399" s="170">
        <f t="shared" si="118"/>
        <v>216.61170147501969</v>
      </c>
    </row>
    <row r="400" spans="18:25" x14ac:dyDescent="0.15">
      <c r="R400" s="166">
        <v>7</v>
      </c>
      <c r="S400" s="1">
        <f t="shared" si="119"/>
        <v>134.84022542964826</v>
      </c>
      <c r="T400" s="167">
        <f t="shared" si="120"/>
        <v>202.26033814447234</v>
      </c>
      <c r="U400" s="168">
        <f t="shared" si="122"/>
        <v>1.0235576987557611</v>
      </c>
      <c r="V400" s="169">
        <f t="shared" si="121"/>
        <v>10.787218034371861</v>
      </c>
      <c r="W400" s="170">
        <f t="shared" si="117"/>
        <v>207.0251262607182</v>
      </c>
      <c r="X400" s="170">
        <f t="shared" si="118"/>
        <v>217.81234429509004</v>
      </c>
    </row>
    <row r="401" spans="18:25" x14ac:dyDescent="0.15">
      <c r="R401" s="166">
        <v>8</v>
      </c>
      <c r="S401" s="1">
        <f t="shared" si="119"/>
        <v>134.84022542964826</v>
      </c>
      <c r="T401" s="167">
        <f t="shared" si="120"/>
        <v>202.26033814447234</v>
      </c>
      <c r="U401" s="168">
        <f t="shared" si="122"/>
        <v>1.0295284519985026</v>
      </c>
      <c r="V401" s="169">
        <f t="shared" si="121"/>
        <v>10.787218034371861</v>
      </c>
      <c r="W401" s="170">
        <f t="shared" si="117"/>
        <v>208.23277283057232</v>
      </c>
      <c r="X401" s="170">
        <f t="shared" si="118"/>
        <v>219.01999086494419</v>
      </c>
    </row>
    <row r="402" spans="18:25" x14ac:dyDescent="0.15">
      <c r="R402" s="166">
        <v>9</v>
      </c>
      <c r="S402" s="1">
        <f t="shared" si="119"/>
        <v>134.84022542964826</v>
      </c>
      <c r="T402" s="167">
        <f t="shared" si="120"/>
        <v>202.26033814447234</v>
      </c>
      <c r="U402" s="168">
        <f t="shared" si="122"/>
        <v>1.03553403463516</v>
      </c>
      <c r="V402" s="169">
        <f t="shared" si="121"/>
        <v>10.787218034371861</v>
      </c>
      <c r="W402" s="170">
        <f t="shared" si="117"/>
        <v>209.4474640054172</v>
      </c>
      <c r="X402" s="170">
        <f t="shared" si="118"/>
        <v>220.23468203978905</v>
      </c>
    </row>
    <row r="403" spans="18:25" x14ac:dyDescent="0.15">
      <c r="R403" s="166">
        <v>10</v>
      </c>
      <c r="S403" s="1">
        <f t="shared" si="119"/>
        <v>134.84022542964826</v>
      </c>
      <c r="T403" s="167">
        <f t="shared" si="120"/>
        <v>202.26033814447234</v>
      </c>
      <c r="U403" s="168">
        <f t="shared" si="122"/>
        <v>1.0415746498371981</v>
      </c>
      <c r="V403" s="169">
        <f t="shared" si="121"/>
        <v>10.787218034371861</v>
      </c>
      <c r="W403" s="170">
        <f t="shared" si="117"/>
        <v>210.66924087878206</v>
      </c>
      <c r="X403" s="170">
        <f t="shared" si="118"/>
        <v>221.45645891315394</v>
      </c>
    </row>
    <row r="404" spans="18:25" x14ac:dyDescent="0.15">
      <c r="R404" s="166">
        <v>11</v>
      </c>
      <c r="S404" s="1">
        <f t="shared" si="119"/>
        <v>134.84022542964826</v>
      </c>
      <c r="T404" s="167">
        <f t="shared" si="120"/>
        <v>202.26033814447234</v>
      </c>
      <c r="U404" s="168">
        <f t="shared" si="122"/>
        <v>1.0476505019612479</v>
      </c>
      <c r="V404" s="169">
        <f t="shared" si="121"/>
        <v>10.787218034371861</v>
      </c>
      <c r="W404" s="170">
        <f t="shared" si="117"/>
        <v>211.89814478390818</v>
      </c>
      <c r="X404" s="170">
        <f t="shared" si="118"/>
        <v>222.68536281828005</v>
      </c>
    </row>
    <row r="405" spans="18:25" x14ac:dyDescent="0.15">
      <c r="R405" s="166">
        <v>12</v>
      </c>
      <c r="S405" s="1">
        <f t="shared" si="119"/>
        <v>134.84022542964826</v>
      </c>
      <c r="T405" s="167">
        <f t="shared" si="120"/>
        <v>202.26033814447234</v>
      </c>
      <c r="U405" s="168">
        <f t="shared" si="122"/>
        <v>1.0537617965560213</v>
      </c>
      <c r="V405" s="169">
        <f t="shared" si="121"/>
        <v>10.787218034371861</v>
      </c>
      <c r="W405" s="170">
        <f t="shared" si="117"/>
        <v>213.13421729514755</v>
      </c>
      <c r="X405" s="170">
        <f t="shared" si="118"/>
        <v>223.9214353295194</v>
      </c>
    </row>
    <row r="406" spans="18:25" ht="16" x14ac:dyDescent="0.3">
      <c r="S406" s="118">
        <f>IF($C$17&gt;=S391,SUM(S394:S405),"")</f>
        <v>1618.0827051557787</v>
      </c>
      <c r="T406" s="119">
        <f>IF($C$17&gt;=S391,SUM(T394:T405),"")</f>
        <v>2427.124057733668</v>
      </c>
      <c r="U406" s="163">
        <f>IF(Y407="",0,AVERAGE(U394:U405))</f>
        <v>1.0207910541779437</v>
      </c>
      <c r="V406" s="120">
        <f>IF($C$17&gt;=S391,SUM(V394:V405),"")</f>
        <v>129.44661641246233</v>
      </c>
      <c r="W406" s="121">
        <f>IF($C$17&gt;=S391,SUM(W394:W405),"")</f>
        <v>2477.5865255145991</v>
      </c>
      <c r="X406" s="121">
        <f>IF($C$17&gt;=S391,SUM(X394:X405),"")</f>
        <v>2607.0331419270615</v>
      </c>
    </row>
    <row r="407" spans="18:25" x14ac:dyDescent="0.15">
      <c r="W407" s="156" t="s">
        <v>53</v>
      </c>
      <c r="X407" s="117">
        <f>IF(AND($D$38="Yes",$D$40+1=S391,$C$17&gt;=S391),$B$40,0)</f>
        <v>0</v>
      </c>
      <c r="Y407" s="142">
        <f>IF(X406="","",IF($D$38="No",X406,IF($D$38="Yes",X406-X407,X406)))</f>
        <v>2607.0331419270615</v>
      </c>
    </row>
    <row r="408" spans="18:25" ht="14" thickBot="1" x14ac:dyDescent="0.2"/>
    <row r="409" spans="18:25" ht="17" thickBot="1" x14ac:dyDescent="0.25">
      <c r="R409" s="126" t="s">
        <v>48</v>
      </c>
      <c r="S409" s="127">
        <v>20</v>
      </c>
      <c r="T409" s="154" t="s">
        <v>66</v>
      </c>
      <c r="U409" s="174">
        <f>U391-($C$36*U391)</f>
        <v>336.08926188339825</v>
      </c>
      <c r="V409" s="155" t="s">
        <v>68</v>
      </c>
      <c r="W409" s="19">
        <f>ROUND($C$25/12,15)</f>
        <v>5.8333333333329997E-3</v>
      </c>
      <c r="X409" s="161">
        <f>IF(X424="",0,(U409*12-(U409*12)*$C$36)/POWER(1+0,S409))</f>
        <v>4020.9719291729771</v>
      </c>
    </row>
    <row r="410" spans="18:25" x14ac:dyDescent="0.15">
      <c r="U410" s="182" t="s">
        <v>76</v>
      </c>
      <c r="V410" s="166">
        <f>IF(S409&lt;=$C$31,$C$29,IF(AND(S409&gt;$C$31,$B$34="Yes"),AVERAGE(U412:U423),$D$34))</f>
        <v>0.08</v>
      </c>
    </row>
    <row r="411" spans="18:25" x14ac:dyDescent="0.15">
      <c r="R411" s="122" t="s">
        <v>70</v>
      </c>
      <c r="S411" s="124">
        <f>$C$24</f>
        <v>0</v>
      </c>
      <c r="T411" s="125">
        <f>100%-$S$87</f>
        <v>1</v>
      </c>
      <c r="U411" s="112" t="s">
        <v>72</v>
      </c>
      <c r="V411" s="115" t="s">
        <v>71</v>
      </c>
      <c r="W411" s="115" t="s">
        <v>67</v>
      </c>
      <c r="X411" s="116" t="s">
        <v>69</v>
      </c>
    </row>
    <row r="412" spans="18:25" x14ac:dyDescent="0.15">
      <c r="R412" s="166">
        <v>1</v>
      </c>
      <c r="S412" s="1">
        <f>$U$409*$C$27</f>
        <v>134.43570475335932</v>
      </c>
      <c r="T412" s="167">
        <f>$U$409*(100%-$C$27)</f>
        <v>201.65355713003893</v>
      </c>
      <c r="U412" s="168">
        <f>U405*(1+$W$409)</f>
        <v>1.0599087403692644</v>
      </c>
      <c r="V412" s="169">
        <f>S412*$V$68</f>
        <v>10.754856380268746</v>
      </c>
      <c r="W412" s="170">
        <f t="shared" ref="W412:W423" si="123">T412*U412</f>
        <v>213.73436772868106</v>
      </c>
      <c r="X412" s="170">
        <f t="shared" ref="X412:X423" si="124">W412+V412</f>
        <v>224.4892241089498</v>
      </c>
    </row>
    <row r="413" spans="18:25" x14ac:dyDescent="0.15">
      <c r="R413" s="166">
        <v>2</v>
      </c>
      <c r="S413" s="1">
        <f t="shared" ref="S413:S423" si="125">$U$409*$C$27</f>
        <v>134.43570475335932</v>
      </c>
      <c r="T413" s="167">
        <f t="shared" ref="T413:T423" si="126">$U$409*(100%-$C$27)</f>
        <v>201.65355713003893</v>
      </c>
      <c r="U413" s="168">
        <f>U412*(1+$W$409)</f>
        <v>1.0660915413547514</v>
      </c>
      <c r="V413" s="169">
        <f t="shared" ref="V413:V423" si="127">S413*$V$68</f>
        <v>10.754856380268746</v>
      </c>
      <c r="W413" s="170">
        <f t="shared" si="123"/>
        <v>214.98115154043163</v>
      </c>
      <c r="X413" s="170">
        <f t="shared" si="124"/>
        <v>225.73600792070036</v>
      </c>
    </row>
    <row r="414" spans="18:25" x14ac:dyDescent="0.15">
      <c r="R414" s="166">
        <v>3</v>
      </c>
      <c r="S414" s="1">
        <f t="shared" si="125"/>
        <v>134.43570475335932</v>
      </c>
      <c r="T414" s="167">
        <f t="shared" si="126"/>
        <v>201.65355713003893</v>
      </c>
      <c r="U414" s="168">
        <f t="shared" ref="U414:U423" si="128">U413*(1+$W$409)</f>
        <v>1.0723104086793203</v>
      </c>
      <c r="V414" s="169">
        <f t="shared" si="127"/>
        <v>10.754856380268746</v>
      </c>
      <c r="W414" s="170">
        <f t="shared" si="123"/>
        <v>216.23520825775071</v>
      </c>
      <c r="X414" s="170">
        <f t="shared" si="124"/>
        <v>226.99006463801945</v>
      </c>
    </row>
    <row r="415" spans="18:25" x14ac:dyDescent="0.15">
      <c r="R415" s="166">
        <v>4</v>
      </c>
      <c r="S415" s="1">
        <f t="shared" si="125"/>
        <v>134.43570475335932</v>
      </c>
      <c r="T415" s="167">
        <f t="shared" si="126"/>
        <v>201.65355713003893</v>
      </c>
      <c r="U415" s="168">
        <f t="shared" si="128"/>
        <v>1.0785655527299491</v>
      </c>
      <c r="V415" s="169">
        <f t="shared" si="127"/>
        <v>10.754856380268746</v>
      </c>
      <c r="W415" s="170">
        <f t="shared" si="123"/>
        <v>217.49658030592082</v>
      </c>
      <c r="X415" s="170">
        <f t="shared" si="124"/>
        <v>228.25143668618955</v>
      </c>
    </row>
    <row r="416" spans="18:25" x14ac:dyDescent="0.15">
      <c r="R416" s="166">
        <v>5</v>
      </c>
      <c r="S416" s="1">
        <f t="shared" si="125"/>
        <v>134.43570475335932</v>
      </c>
      <c r="T416" s="167">
        <f t="shared" si="126"/>
        <v>201.65355713003893</v>
      </c>
      <c r="U416" s="168">
        <f t="shared" si="128"/>
        <v>1.0848571851208735</v>
      </c>
      <c r="V416" s="169">
        <f t="shared" si="127"/>
        <v>10.754856380268746</v>
      </c>
      <c r="W416" s="170">
        <f t="shared" si="123"/>
        <v>218.76531035770529</v>
      </c>
      <c r="X416" s="170">
        <f t="shared" si="124"/>
        <v>229.52016673797402</v>
      </c>
    </row>
    <row r="417" spans="18:25" x14ac:dyDescent="0.15">
      <c r="R417" s="166">
        <v>6</v>
      </c>
      <c r="S417" s="1">
        <f t="shared" si="125"/>
        <v>134.43570475335932</v>
      </c>
      <c r="T417" s="167">
        <f t="shared" si="126"/>
        <v>201.65355713003893</v>
      </c>
      <c r="U417" s="168">
        <f t="shared" si="128"/>
        <v>1.0911855187007449</v>
      </c>
      <c r="V417" s="169">
        <f t="shared" si="127"/>
        <v>10.754856380268746</v>
      </c>
      <c r="W417" s="170">
        <f t="shared" si="123"/>
        <v>220.04144133479181</v>
      </c>
      <c r="X417" s="170">
        <f t="shared" si="124"/>
        <v>230.79629771506055</v>
      </c>
    </row>
    <row r="418" spans="18:25" x14ac:dyDescent="0.15">
      <c r="R418" s="166">
        <v>7</v>
      </c>
      <c r="S418" s="1">
        <f t="shared" si="125"/>
        <v>134.43570475335932</v>
      </c>
      <c r="T418" s="167">
        <f t="shared" si="126"/>
        <v>201.65355713003893</v>
      </c>
      <c r="U418" s="168">
        <f t="shared" si="128"/>
        <v>1.0975507675598322</v>
      </c>
      <c r="V418" s="169">
        <f t="shared" si="127"/>
        <v>10.754856380268746</v>
      </c>
      <c r="W418" s="170">
        <f t="shared" si="123"/>
        <v>221.32501640924471</v>
      </c>
      <c r="X418" s="170">
        <f t="shared" si="124"/>
        <v>232.07987278951344</v>
      </c>
    </row>
    <row r="419" spans="18:25" x14ac:dyDescent="0.15">
      <c r="R419" s="166">
        <v>8</v>
      </c>
      <c r="S419" s="1">
        <f t="shared" si="125"/>
        <v>134.43570475335932</v>
      </c>
      <c r="T419" s="167">
        <f t="shared" si="126"/>
        <v>201.65355713003893</v>
      </c>
      <c r="U419" s="168">
        <f t="shared" si="128"/>
        <v>1.1039531470372641</v>
      </c>
      <c r="V419" s="169">
        <f t="shared" si="127"/>
        <v>10.754856380268746</v>
      </c>
      <c r="W419" s="170">
        <f t="shared" si="123"/>
        <v>222.6160790049652</v>
      </c>
      <c r="X419" s="170">
        <f t="shared" si="124"/>
        <v>233.37093538523393</v>
      </c>
    </row>
    <row r="420" spans="18:25" x14ac:dyDescent="0.15">
      <c r="R420" s="166">
        <v>9</v>
      </c>
      <c r="S420" s="1">
        <f t="shared" si="125"/>
        <v>134.43570475335932</v>
      </c>
      <c r="T420" s="167">
        <f t="shared" si="126"/>
        <v>201.65355713003893</v>
      </c>
      <c r="U420" s="168">
        <f t="shared" si="128"/>
        <v>1.1103928737283144</v>
      </c>
      <c r="V420" s="169">
        <f t="shared" si="127"/>
        <v>10.754856380268746</v>
      </c>
      <c r="W420" s="170">
        <f t="shared" si="123"/>
        <v>223.91467279916077</v>
      </c>
      <c r="X420" s="170">
        <f t="shared" si="124"/>
        <v>234.6695291794295</v>
      </c>
    </row>
    <row r="421" spans="18:25" x14ac:dyDescent="0.15">
      <c r="R421" s="166">
        <v>10</v>
      </c>
      <c r="S421" s="1">
        <f t="shared" si="125"/>
        <v>134.43570475335932</v>
      </c>
      <c r="T421" s="167">
        <f t="shared" si="126"/>
        <v>201.65355713003893</v>
      </c>
      <c r="U421" s="168">
        <f t="shared" si="128"/>
        <v>1.116870165491729</v>
      </c>
      <c r="V421" s="169">
        <f t="shared" si="127"/>
        <v>10.754856380268746</v>
      </c>
      <c r="W421" s="170">
        <f t="shared" si="123"/>
        <v>225.22084172382242</v>
      </c>
      <c r="X421" s="170">
        <f t="shared" si="124"/>
        <v>235.97569810409115</v>
      </c>
    </row>
    <row r="422" spans="18:25" x14ac:dyDescent="0.15">
      <c r="R422" s="166">
        <v>11</v>
      </c>
      <c r="S422" s="1">
        <f t="shared" si="125"/>
        <v>134.43570475335932</v>
      </c>
      <c r="T422" s="167">
        <f t="shared" si="126"/>
        <v>201.65355713003893</v>
      </c>
      <c r="U422" s="168">
        <f t="shared" si="128"/>
        <v>1.1233852414570971</v>
      </c>
      <c r="V422" s="169">
        <f t="shared" si="127"/>
        <v>10.754856380268746</v>
      </c>
      <c r="W422" s="170">
        <f t="shared" si="123"/>
        <v>226.53462996721132</v>
      </c>
      <c r="X422" s="170">
        <f t="shared" si="124"/>
        <v>237.28948634748005</v>
      </c>
    </row>
    <row r="423" spans="18:25" x14ac:dyDescent="0.15">
      <c r="R423" s="166">
        <v>12</v>
      </c>
      <c r="S423" s="1">
        <f t="shared" si="125"/>
        <v>134.43570475335932</v>
      </c>
      <c r="T423" s="167">
        <f t="shared" si="126"/>
        <v>201.65355713003893</v>
      </c>
      <c r="U423" s="168">
        <f t="shared" si="128"/>
        <v>1.129938322032263</v>
      </c>
      <c r="V423" s="169">
        <f t="shared" si="127"/>
        <v>10.754856380268746</v>
      </c>
      <c r="W423" s="170">
        <f t="shared" si="123"/>
        <v>227.85608197535328</v>
      </c>
      <c r="X423" s="170">
        <f t="shared" si="124"/>
        <v>238.61093835562201</v>
      </c>
    </row>
    <row r="424" spans="18:25" ht="16" x14ac:dyDescent="0.3">
      <c r="S424" s="118">
        <f>IF($C$17&gt;=S409,SUM(S412:S423),"")</f>
        <v>1613.2284570403115</v>
      </c>
      <c r="T424" s="119">
        <f>IF($C$17&gt;=S409,SUM(T412:T423),"")</f>
        <v>2419.8426855604671</v>
      </c>
      <c r="U424" s="163">
        <f>IF(Y425="",0,AVERAGE(U412:U423))</f>
        <v>1.0945841220217838</v>
      </c>
      <c r="V424" s="120">
        <f>IF($C$17&gt;=S409,SUM(V412:V423),"")</f>
        <v>129.05827656322495</v>
      </c>
      <c r="W424" s="121">
        <f>IF($C$17&gt;=S409,SUM(W412:W423),"")</f>
        <v>2648.7213814050397</v>
      </c>
      <c r="X424" s="121">
        <f>IF($C$17&gt;=S409,SUM(X412:X423),"")</f>
        <v>2777.7796579682636</v>
      </c>
    </row>
    <row r="425" spans="18:25" x14ac:dyDescent="0.15">
      <c r="W425" s="156" t="s">
        <v>53</v>
      </c>
      <c r="X425" s="117">
        <f>IF(AND($D$38="Yes",$D$40+1=S409,$C$17&gt;=S409),$B$40,0)</f>
        <v>0</v>
      </c>
      <c r="Y425" s="142">
        <f>IF(X424="","",IF($D$38="No",X424,IF($D$38="Yes",X424-X425,X424)))</f>
        <v>2777.7796579682636</v>
      </c>
    </row>
    <row r="426" spans="18:25" ht="14" thickBot="1" x14ac:dyDescent="0.2"/>
    <row r="427" spans="18:25" ht="17" thickBot="1" x14ac:dyDescent="0.25">
      <c r="R427" s="126" t="s">
        <v>48</v>
      </c>
      <c r="S427" s="127">
        <v>21</v>
      </c>
      <c r="T427" s="154" t="s">
        <v>66</v>
      </c>
      <c r="U427" s="143">
        <f>U409-($C$36*U409)</f>
        <v>335.08099409774803</v>
      </c>
      <c r="V427" s="155" t="s">
        <v>68</v>
      </c>
      <c r="W427" s="19">
        <f>ROUND($C$25/12,15)</f>
        <v>5.8333333333329997E-3</v>
      </c>
      <c r="X427" s="161">
        <f>IF(X442="",0,(U427*12-(U427*12)*$C$36)/POWER(1+0,S427))</f>
        <v>4008.9090133854575</v>
      </c>
    </row>
    <row r="428" spans="18:25" x14ac:dyDescent="0.15">
      <c r="U428" s="182" t="s">
        <v>76</v>
      </c>
      <c r="V428" s="166">
        <f>IF(S427&lt;=$C$31,$C$29,IF(AND(S427&gt;$C$31,$B$34="Yes"),AVERAGE(U430:U441),$D$34))</f>
        <v>0.08</v>
      </c>
    </row>
    <row r="429" spans="18:25" x14ac:dyDescent="0.15">
      <c r="R429" s="122" t="s">
        <v>70</v>
      </c>
      <c r="S429" s="124">
        <f>$C$24</f>
        <v>0</v>
      </c>
      <c r="T429" s="125">
        <f>100%-$S$87</f>
        <v>1</v>
      </c>
      <c r="U429" s="112" t="s">
        <v>72</v>
      </c>
      <c r="V429" s="115" t="s">
        <v>71</v>
      </c>
      <c r="W429" s="115" t="s">
        <v>67</v>
      </c>
      <c r="X429" s="116" t="s">
        <v>69</v>
      </c>
    </row>
    <row r="430" spans="18:25" x14ac:dyDescent="0.15">
      <c r="R430" s="166">
        <v>1</v>
      </c>
      <c r="S430" s="1">
        <f>$U$427*$C$27</f>
        <v>134.03239763909923</v>
      </c>
      <c r="T430" s="167">
        <f>$U$427*(100%-$C$27)</f>
        <v>201.0485964586488</v>
      </c>
      <c r="U430" s="168">
        <f>U423*(1+$W$427)</f>
        <v>1.136529628910784</v>
      </c>
      <c r="V430" s="169">
        <f>S430*$V$68</f>
        <v>10.722591811127939</v>
      </c>
      <c r="W430" s="170">
        <f t="shared" ref="W430:W441" si="129">T430*U430</f>
        <v>228.49768672618208</v>
      </c>
      <c r="X430" s="170">
        <f t="shared" ref="X430:X441" si="130">W430+V430</f>
        <v>239.22027853731001</v>
      </c>
    </row>
    <row r="431" spans="18:25" x14ac:dyDescent="0.15">
      <c r="R431" s="166">
        <v>2</v>
      </c>
      <c r="S431" s="1">
        <f t="shared" ref="S431:S441" si="131">$U$427*$C$27</f>
        <v>134.03239763909923</v>
      </c>
      <c r="T431" s="167">
        <f t="shared" ref="T431:T441" si="132">$U$427*(100%-$C$27)</f>
        <v>201.0485964586488</v>
      </c>
      <c r="U431" s="168">
        <f>U430*(1+$W$427)</f>
        <v>1.1431593850794297</v>
      </c>
      <c r="V431" s="169">
        <f t="shared" ref="V431:V441" si="133">S431*$V$68</f>
        <v>10.722591811127939</v>
      </c>
      <c r="W431" s="170">
        <f t="shared" si="129"/>
        <v>229.83058989875138</v>
      </c>
      <c r="X431" s="170">
        <f t="shared" si="130"/>
        <v>240.55318170987931</v>
      </c>
    </row>
    <row r="432" spans="18:25" x14ac:dyDescent="0.15">
      <c r="R432" s="166">
        <v>3</v>
      </c>
      <c r="S432" s="1">
        <f t="shared" si="131"/>
        <v>134.03239763909923</v>
      </c>
      <c r="T432" s="167">
        <f t="shared" si="132"/>
        <v>201.0485964586488</v>
      </c>
      <c r="U432" s="168">
        <f t="shared" ref="U432:U441" si="134">U431*(1+$W$427)</f>
        <v>1.1498278148257259</v>
      </c>
      <c r="V432" s="169">
        <f t="shared" si="133"/>
        <v>10.722591811127939</v>
      </c>
      <c r="W432" s="170">
        <f t="shared" si="129"/>
        <v>231.17126833982732</v>
      </c>
      <c r="X432" s="170">
        <f t="shared" si="130"/>
        <v>241.89386015095525</v>
      </c>
    </row>
    <row r="433" spans="18:25" x14ac:dyDescent="0.15">
      <c r="R433" s="166">
        <v>4</v>
      </c>
      <c r="S433" s="1">
        <f t="shared" si="131"/>
        <v>134.03239763909923</v>
      </c>
      <c r="T433" s="167">
        <f t="shared" si="132"/>
        <v>201.0485964586488</v>
      </c>
      <c r="U433" s="168">
        <f t="shared" si="134"/>
        <v>1.1565351437455422</v>
      </c>
      <c r="V433" s="169">
        <f t="shared" si="133"/>
        <v>10.722591811127939</v>
      </c>
      <c r="W433" s="170">
        <f t="shared" si="129"/>
        <v>232.51976740514291</v>
      </c>
      <c r="X433" s="170">
        <f t="shared" si="130"/>
        <v>243.24235921627084</v>
      </c>
    </row>
    <row r="434" spans="18:25" x14ac:dyDescent="0.15">
      <c r="R434" s="166">
        <v>5</v>
      </c>
      <c r="S434" s="1">
        <f t="shared" si="131"/>
        <v>134.03239763909923</v>
      </c>
      <c r="T434" s="167">
        <f t="shared" si="132"/>
        <v>201.0485964586488</v>
      </c>
      <c r="U434" s="168">
        <f t="shared" si="134"/>
        <v>1.1632815987507241</v>
      </c>
      <c r="V434" s="169">
        <f t="shared" si="133"/>
        <v>10.722591811127939</v>
      </c>
      <c r="W434" s="170">
        <f t="shared" si="129"/>
        <v>233.87613271500615</v>
      </c>
      <c r="X434" s="170">
        <f t="shared" si="130"/>
        <v>244.59872452613408</v>
      </c>
    </row>
    <row r="435" spans="18:25" x14ac:dyDescent="0.15">
      <c r="R435" s="166">
        <v>6</v>
      </c>
      <c r="S435" s="1">
        <f t="shared" si="131"/>
        <v>134.03239763909923</v>
      </c>
      <c r="T435" s="167">
        <f t="shared" si="132"/>
        <v>201.0485964586488</v>
      </c>
      <c r="U435" s="168">
        <f t="shared" si="134"/>
        <v>1.1700674080767695</v>
      </c>
      <c r="V435" s="169">
        <f t="shared" si="133"/>
        <v>10.722591811127939</v>
      </c>
      <c r="W435" s="170">
        <f t="shared" si="129"/>
        <v>235.24041015584356</v>
      </c>
      <c r="X435" s="170">
        <f t="shared" si="130"/>
        <v>245.96300196697149</v>
      </c>
    </row>
    <row r="436" spans="18:25" x14ac:dyDescent="0.15">
      <c r="R436" s="166">
        <v>7</v>
      </c>
      <c r="S436" s="1">
        <f t="shared" si="131"/>
        <v>134.03239763909923</v>
      </c>
      <c r="T436" s="167">
        <f t="shared" si="132"/>
        <v>201.0485964586488</v>
      </c>
      <c r="U436" s="168">
        <f t="shared" si="134"/>
        <v>1.1768928012905502</v>
      </c>
      <c r="V436" s="169">
        <f t="shared" si="133"/>
        <v>10.722591811127939</v>
      </c>
      <c r="W436" s="170">
        <f t="shared" si="129"/>
        <v>236.61264588175257</v>
      </c>
      <c r="X436" s="170">
        <f t="shared" si="130"/>
        <v>247.3352376928805</v>
      </c>
    </row>
    <row r="437" spans="18:25" x14ac:dyDescent="0.15">
      <c r="R437" s="166">
        <v>8</v>
      </c>
      <c r="S437" s="1">
        <f t="shared" si="131"/>
        <v>134.03239763909923</v>
      </c>
      <c r="T437" s="167">
        <f t="shared" si="132"/>
        <v>201.0485964586488</v>
      </c>
      <c r="U437" s="168">
        <f t="shared" si="134"/>
        <v>1.183758009298078</v>
      </c>
      <c r="V437" s="169">
        <f t="shared" si="133"/>
        <v>10.722591811127939</v>
      </c>
      <c r="W437" s="170">
        <f t="shared" si="129"/>
        <v>237.99288631606271</v>
      </c>
      <c r="X437" s="170">
        <f t="shared" si="130"/>
        <v>248.71547812719064</v>
      </c>
    </row>
    <row r="438" spans="18:25" x14ac:dyDescent="0.15">
      <c r="R438" s="166">
        <v>9</v>
      </c>
      <c r="S438" s="1">
        <f t="shared" si="131"/>
        <v>134.03239763909923</v>
      </c>
      <c r="T438" s="167">
        <f t="shared" si="132"/>
        <v>201.0485964586488</v>
      </c>
      <c r="U438" s="168">
        <f t="shared" si="134"/>
        <v>1.1906632643523163</v>
      </c>
      <c r="V438" s="169">
        <f t="shared" si="133"/>
        <v>10.722591811127939</v>
      </c>
      <c r="W438" s="170">
        <f t="shared" si="129"/>
        <v>239.38117815290633</v>
      </c>
      <c r="X438" s="170">
        <f t="shared" si="130"/>
        <v>250.10376996403426</v>
      </c>
    </row>
    <row r="439" spans="18:25" x14ac:dyDescent="0.15">
      <c r="R439" s="166">
        <v>10</v>
      </c>
      <c r="S439" s="1">
        <f t="shared" si="131"/>
        <v>134.03239763909923</v>
      </c>
      <c r="T439" s="167">
        <f t="shared" si="132"/>
        <v>201.0485964586488</v>
      </c>
      <c r="U439" s="168">
        <f t="shared" si="134"/>
        <v>1.1976088000610376</v>
      </c>
      <c r="V439" s="169">
        <f t="shared" si="133"/>
        <v>10.722591811127939</v>
      </c>
      <c r="W439" s="170">
        <f t="shared" si="129"/>
        <v>240.77756835879816</v>
      </c>
      <c r="X439" s="170">
        <f t="shared" si="130"/>
        <v>251.50016016992609</v>
      </c>
    </row>
    <row r="440" spans="18:25" x14ac:dyDescent="0.15">
      <c r="R440" s="166">
        <v>11</v>
      </c>
      <c r="S440" s="1">
        <f t="shared" si="131"/>
        <v>134.03239763909923</v>
      </c>
      <c r="T440" s="167">
        <f t="shared" si="132"/>
        <v>201.0485964586488</v>
      </c>
      <c r="U440" s="168">
        <f t="shared" si="134"/>
        <v>1.2045948513947264</v>
      </c>
      <c r="V440" s="169">
        <f t="shared" si="133"/>
        <v>10.722591811127939</v>
      </c>
      <c r="W440" s="170">
        <f t="shared" si="129"/>
        <v>242.18210417422438</v>
      </c>
      <c r="X440" s="170">
        <f t="shared" si="130"/>
        <v>252.9046959853523</v>
      </c>
    </row>
    <row r="441" spans="18:25" x14ac:dyDescent="0.15">
      <c r="R441" s="166">
        <v>12</v>
      </c>
      <c r="S441" s="1">
        <f t="shared" si="131"/>
        <v>134.03239763909923</v>
      </c>
      <c r="T441" s="167">
        <f t="shared" si="132"/>
        <v>201.0485964586488</v>
      </c>
      <c r="U441" s="168">
        <f t="shared" si="134"/>
        <v>1.2116216546945284</v>
      </c>
      <c r="V441" s="169">
        <f t="shared" si="133"/>
        <v>10.722591811127939</v>
      </c>
      <c r="W441" s="170">
        <f t="shared" si="129"/>
        <v>243.59483311524056</v>
      </c>
      <c r="X441" s="170">
        <f t="shared" si="130"/>
        <v>254.31742492636849</v>
      </c>
    </row>
    <row r="442" spans="18:25" ht="16" x14ac:dyDescent="0.3">
      <c r="S442" s="118">
        <f>IF($C$17&gt;=S427,SUM(S430:S441),"")</f>
        <v>1608.3887716691904</v>
      </c>
      <c r="T442" s="119">
        <f>IF($C$17&gt;=S427,SUM(T430:T441),"")</f>
        <v>2412.5831575037851</v>
      </c>
      <c r="U442" s="163">
        <f>IF(Y443="",0,AVERAGE(U430:U441))</f>
        <v>1.1737116967066845</v>
      </c>
      <c r="V442" s="120">
        <f>IF($C$17&gt;=S427,SUM(V430:V441),"")</f>
        <v>128.67110173353527</v>
      </c>
      <c r="W442" s="121">
        <f>IF($C$17&gt;=S427,SUM(W430:W441),"")</f>
        <v>2831.6770712397383</v>
      </c>
      <c r="X442" s="121">
        <f>IF($C$17&gt;=S427,SUM(X430:X441),"")</f>
        <v>2960.348172973273</v>
      </c>
    </row>
    <row r="443" spans="18:25" x14ac:dyDescent="0.15">
      <c r="W443" s="156" t="s">
        <v>53</v>
      </c>
      <c r="X443" s="117">
        <f>IF(AND($D$38="Yes",$D$40+1=S427,$C$17&gt;=S427),$B$40,0)</f>
        <v>0</v>
      </c>
      <c r="Y443" s="142">
        <f>IF(X442="","",IF($D$38="No",X442,IF($D$38="Yes",X442-X443,X442)))</f>
        <v>2960.348172973273</v>
      </c>
    </row>
    <row r="444" spans="18:25" ht="14" thickBot="1" x14ac:dyDescent="0.2"/>
    <row r="445" spans="18:25" ht="17" thickBot="1" x14ac:dyDescent="0.25">
      <c r="R445" s="126" t="s">
        <v>48</v>
      </c>
      <c r="S445" s="127">
        <v>22</v>
      </c>
      <c r="T445" s="154" t="s">
        <v>66</v>
      </c>
      <c r="U445" s="143">
        <f>U427-($C$36*U427)</f>
        <v>334.07575111545481</v>
      </c>
      <c r="V445" s="155" t="s">
        <v>68</v>
      </c>
      <c r="W445" s="19">
        <f>ROUND($C$25/12,15)</f>
        <v>5.8333333333329997E-3</v>
      </c>
      <c r="X445" s="161">
        <f>IF(X460="",0,(U445*12-(U445*12)*$C$36)/POWER(1+0,S445))</f>
        <v>3996.8822863453015</v>
      </c>
    </row>
    <row r="446" spans="18:25" x14ac:dyDescent="0.15">
      <c r="U446" s="182" t="s">
        <v>76</v>
      </c>
      <c r="V446" s="166">
        <f>IF(S445&lt;=$C$31,$C$29,IF(AND(S445&gt;$C$31,$B$34="Yes"),AVERAGE(U448:U459),$D$34))</f>
        <v>0.08</v>
      </c>
    </row>
    <row r="447" spans="18:25" x14ac:dyDescent="0.15">
      <c r="R447" s="122" t="s">
        <v>70</v>
      </c>
      <c r="S447" s="124">
        <f>$C$24</f>
        <v>0</v>
      </c>
      <c r="T447" s="125">
        <f>100%-$S$87</f>
        <v>1</v>
      </c>
      <c r="U447" s="112" t="s">
        <v>72</v>
      </c>
      <c r="V447" s="115" t="s">
        <v>71</v>
      </c>
      <c r="W447" s="115" t="s">
        <v>67</v>
      </c>
      <c r="X447" s="116" t="s">
        <v>69</v>
      </c>
    </row>
    <row r="448" spans="18:25" x14ac:dyDescent="0.15">
      <c r="R448" s="166">
        <v>1</v>
      </c>
      <c r="S448" s="1">
        <f>$U$445*$C$27</f>
        <v>133.63030044618193</v>
      </c>
      <c r="T448" s="167">
        <f>$U$445*(100%-$C$27)</f>
        <v>200.44545066927287</v>
      </c>
      <c r="U448" s="168">
        <f>U441*(1+$W$445)</f>
        <v>1.2186894476802459</v>
      </c>
      <c r="V448" s="169">
        <f>S448*$V$68</f>
        <v>10.690424035694555</v>
      </c>
      <c r="W448" s="170">
        <f t="shared" ref="W448:W459" si="135">T448*U448</f>
        <v>244.28075556615414</v>
      </c>
      <c r="X448" s="170">
        <f t="shared" ref="X448:X459" si="136">W448+V448</f>
        <v>254.97117960184869</v>
      </c>
    </row>
    <row r="449" spans="18:25" x14ac:dyDescent="0.15">
      <c r="R449" s="166">
        <v>2</v>
      </c>
      <c r="S449" s="1">
        <f t="shared" ref="S449:S459" si="137">$U$445*$C$27</f>
        <v>133.63030044618193</v>
      </c>
      <c r="T449" s="167">
        <f t="shared" ref="T449:T459" si="138">$U$445*(100%-$C$27)</f>
        <v>200.44545066927287</v>
      </c>
      <c r="U449" s="168">
        <f>U448*(1+$W$445)</f>
        <v>1.2257984694583801</v>
      </c>
      <c r="V449" s="169">
        <f t="shared" ref="V449:V459" si="139">S449*$V$68</f>
        <v>10.690424035694555</v>
      </c>
      <c r="W449" s="170">
        <f t="shared" si="135"/>
        <v>245.70572664028992</v>
      </c>
      <c r="X449" s="170">
        <f t="shared" si="136"/>
        <v>256.39615067598447</v>
      </c>
    </row>
    <row r="450" spans="18:25" x14ac:dyDescent="0.15">
      <c r="R450" s="166">
        <v>3</v>
      </c>
      <c r="S450" s="1">
        <f t="shared" si="137"/>
        <v>133.63030044618193</v>
      </c>
      <c r="T450" s="167">
        <f t="shared" si="138"/>
        <v>200.44545066927287</v>
      </c>
      <c r="U450" s="168">
        <f t="shared" ref="U450:U459" si="140">U449*(1+$W$445)</f>
        <v>1.2329489605302202</v>
      </c>
      <c r="V450" s="169">
        <f t="shared" si="139"/>
        <v>10.690424035694555</v>
      </c>
      <c r="W450" s="170">
        <f t="shared" si="135"/>
        <v>247.13901004569152</v>
      </c>
      <c r="X450" s="170">
        <f t="shared" si="136"/>
        <v>257.82943408138607</v>
      </c>
    </row>
    <row r="451" spans="18:25" x14ac:dyDescent="0.15">
      <c r="R451" s="166">
        <v>4</v>
      </c>
      <c r="S451" s="1">
        <f t="shared" si="137"/>
        <v>133.63030044618193</v>
      </c>
      <c r="T451" s="167">
        <f t="shared" si="138"/>
        <v>200.44545066927287</v>
      </c>
      <c r="U451" s="168">
        <f t="shared" si="140"/>
        <v>1.2401411627999792</v>
      </c>
      <c r="V451" s="169">
        <f t="shared" si="139"/>
        <v>10.690424035694555</v>
      </c>
      <c r="W451" s="170">
        <f t="shared" si="135"/>
        <v>248.58065427095792</v>
      </c>
      <c r="X451" s="170">
        <f t="shared" si="136"/>
        <v>259.2710783066525</v>
      </c>
    </row>
    <row r="452" spans="18:25" x14ac:dyDescent="0.15">
      <c r="R452" s="166">
        <v>5</v>
      </c>
      <c r="S452" s="1">
        <f t="shared" si="137"/>
        <v>133.63030044618193</v>
      </c>
      <c r="T452" s="167">
        <f t="shared" si="138"/>
        <v>200.44545066927287</v>
      </c>
      <c r="U452" s="168">
        <f t="shared" si="140"/>
        <v>1.2473753195829786</v>
      </c>
      <c r="V452" s="169">
        <f t="shared" si="139"/>
        <v>10.690424035694555</v>
      </c>
      <c r="W452" s="170">
        <f t="shared" si="135"/>
        <v>250.03070808753844</v>
      </c>
      <c r="X452" s="170">
        <f t="shared" si="136"/>
        <v>260.72113212323302</v>
      </c>
    </row>
    <row r="453" spans="18:25" x14ac:dyDescent="0.15">
      <c r="R453" s="166">
        <v>6</v>
      </c>
      <c r="S453" s="1">
        <f t="shared" si="137"/>
        <v>133.63030044618193</v>
      </c>
      <c r="T453" s="167">
        <f t="shared" si="138"/>
        <v>200.44545066927287</v>
      </c>
      <c r="U453" s="168">
        <f t="shared" si="140"/>
        <v>1.2546516756138788</v>
      </c>
      <c r="V453" s="169">
        <f t="shared" si="139"/>
        <v>10.690424035694555</v>
      </c>
      <c r="W453" s="170">
        <f t="shared" si="135"/>
        <v>251.48922055138229</v>
      </c>
      <c r="X453" s="170">
        <f t="shared" si="136"/>
        <v>262.17964458707684</v>
      </c>
    </row>
    <row r="454" spans="18:25" x14ac:dyDescent="0.15">
      <c r="R454" s="166">
        <v>7</v>
      </c>
      <c r="S454" s="1">
        <f t="shared" si="137"/>
        <v>133.63030044618193</v>
      </c>
      <c r="T454" s="167">
        <f t="shared" si="138"/>
        <v>200.44545066927287</v>
      </c>
      <c r="U454" s="168">
        <f t="shared" si="140"/>
        <v>1.2619704770549591</v>
      </c>
      <c r="V454" s="169">
        <f t="shared" si="139"/>
        <v>10.690424035694555</v>
      </c>
      <c r="W454" s="170">
        <f t="shared" si="135"/>
        <v>252.95624100459855</v>
      </c>
      <c r="X454" s="170">
        <f t="shared" si="136"/>
        <v>263.6466650402931</v>
      </c>
    </row>
    <row r="455" spans="18:25" x14ac:dyDescent="0.15">
      <c r="R455" s="166">
        <v>8</v>
      </c>
      <c r="S455" s="1">
        <f t="shared" si="137"/>
        <v>133.63030044618193</v>
      </c>
      <c r="T455" s="167">
        <f t="shared" si="138"/>
        <v>200.44545066927287</v>
      </c>
      <c r="U455" s="168">
        <f t="shared" si="140"/>
        <v>1.2693319715044458</v>
      </c>
      <c r="V455" s="169">
        <f t="shared" si="139"/>
        <v>10.690424035694555</v>
      </c>
      <c r="W455" s="170">
        <f t="shared" si="135"/>
        <v>254.43181907712525</v>
      </c>
      <c r="X455" s="170">
        <f t="shared" si="136"/>
        <v>265.12224311281983</v>
      </c>
    </row>
    <row r="456" spans="18:25" x14ac:dyDescent="0.15">
      <c r="R456" s="166">
        <v>9</v>
      </c>
      <c r="S456" s="1">
        <f t="shared" si="137"/>
        <v>133.63030044618193</v>
      </c>
      <c r="T456" s="167">
        <f t="shared" si="138"/>
        <v>200.44545066927287</v>
      </c>
      <c r="U456" s="168">
        <f t="shared" si="140"/>
        <v>1.2767364080048877</v>
      </c>
      <c r="V456" s="169">
        <f t="shared" si="139"/>
        <v>10.690424035694555</v>
      </c>
      <c r="W456" s="170">
        <f t="shared" si="135"/>
        <v>255.91600468840838</v>
      </c>
      <c r="X456" s="170">
        <f t="shared" si="136"/>
        <v>266.60642872410295</v>
      </c>
    </row>
    <row r="457" spans="18:25" x14ac:dyDescent="0.15">
      <c r="R457" s="166">
        <v>10</v>
      </c>
      <c r="S457" s="1">
        <f t="shared" si="137"/>
        <v>133.63030044618193</v>
      </c>
      <c r="T457" s="167">
        <f t="shared" si="138"/>
        <v>200.44545066927287</v>
      </c>
      <c r="U457" s="168">
        <f t="shared" si="140"/>
        <v>1.2841840370515825</v>
      </c>
      <c r="V457" s="169">
        <f t="shared" si="139"/>
        <v>10.690424035694555</v>
      </c>
      <c r="W457" s="170">
        <f t="shared" si="135"/>
        <v>257.40884804909064</v>
      </c>
      <c r="X457" s="170">
        <f t="shared" si="136"/>
        <v>268.09927208478518</v>
      </c>
    </row>
    <row r="458" spans="18:25" x14ac:dyDescent="0.15">
      <c r="R458" s="166">
        <v>11</v>
      </c>
      <c r="S458" s="1">
        <f t="shared" si="137"/>
        <v>133.63030044618193</v>
      </c>
      <c r="T458" s="167">
        <f t="shared" si="138"/>
        <v>200.44545066927287</v>
      </c>
      <c r="U458" s="168">
        <f t="shared" si="140"/>
        <v>1.2916751106010496</v>
      </c>
      <c r="V458" s="169">
        <f t="shared" si="139"/>
        <v>10.690424035694555</v>
      </c>
      <c r="W458" s="170">
        <f t="shared" si="135"/>
        <v>258.91039966271023</v>
      </c>
      <c r="X458" s="170">
        <f t="shared" si="136"/>
        <v>269.60082369840478</v>
      </c>
    </row>
    <row r="459" spans="18:25" x14ac:dyDescent="0.15">
      <c r="R459" s="166">
        <v>12</v>
      </c>
      <c r="S459" s="1">
        <f t="shared" si="137"/>
        <v>133.63030044618193</v>
      </c>
      <c r="T459" s="167">
        <f t="shared" si="138"/>
        <v>200.44545066927287</v>
      </c>
      <c r="U459" s="168">
        <f t="shared" si="140"/>
        <v>1.2992098820795552</v>
      </c>
      <c r="V459" s="169">
        <f t="shared" si="139"/>
        <v>10.690424035694555</v>
      </c>
      <c r="W459" s="170">
        <f t="shared" si="135"/>
        <v>260.42071032740932</v>
      </c>
      <c r="X459" s="170">
        <f t="shared" si="136"/>
        <v>271.11113436310387</v>
      </c>
    </row>
    <row r="460" spans="18:25" ht="16" x14ac:dyDescent="0.3">
      <c r="S460" s="118">
        <f>IF($C$17&gt;=S445,SUM(S448:S459),"")</f>
        <v>1603.5636053541837</v>
      </c>
      <c r="T460" s="119">
        <f>IF($C$17&gt;=S445,SUM(T448:T459),"")</f>
        <v>2405.345408031274</v>
      </c>
      <c r="U460" s="163">
        <f>IF(Y461="",0,AVERAGE(U448:U459))</f>
        <v>1.2585594101635136</v>
      </c>
      <c r="V460" s="120">
        <f>IF($C$17&gt;=S445,SUM(V448:V459),"")</f>
        <v>128.28508842833463</v>
      </c>
      <c r="W460" s="121">
        <f>IF($C$17&gt;=S445,SUM(W448:W459),"")</f>
        <v>3027.2700979713563</v>
      </c>
      <c r="X460" s="121">
        <f>IF($C$17&gt;=S445,SUM(X448:X459),"")</f>
        <v>3155.5551863996911</v>
      </c>
    </row>
    <row r="461" spans="18:25" x14ac:dyDescent="0.15">
      <c r="W461" s="156" t="s">
        <v>53</v>
      </c>
      <c r="X461" s="117">
        <f>IF(AND($D$38="Yes",$D$40+1=S445,$C$17&gt;=S445),$B$40,0)</f>
        <v>0</v>
      </c>
      <c r="Y461" s="142">
        <f>IF(X460="","",IF($D$38="No",X460,IF($D$38="Yes",X460-X461,X460)))</f>
        <v>3155.5551863996911</v>
      </c>
    </row>
    <row r="462" spans="18:25" ht="14" thickBot="1" x14ac:dyDescent="0.2"/>
    <row r="463" spans="18:25" ht="17" thickBot="1" x14ac:dyDescent="0.25">
      <c r="R463" s="126" t="s">
        <v>48</v>
      </c>
      <c r="S463" s="127">
        <v>23</v>
      </c>
      <c r="T463" s="154" t="s">
        <v>66</v>
      </c>
      <c r="U463" s="143">
        <f>U445-($C$36*U445)</f>
        <v>333.07352386210846</v>
      </c>
      <c r="V463" s="155" t="s">
        <v>68</v>
      </c>
      <c r="W463" s="19">
        <f>ROUND($C$25/12,15)</f>
        <v>5.8333333333329997E-3</v>
      </c>
      <c r="X463" s="161">
        <f>IF(X478="",0,(U463*12-(U463*12)*$C$36)/POWER(1+0,S463))</f>
        <v>3984.8916394862654</v>
      </c>
    </row>
    <row r="464" spans="18:25" x14ac:dyDescent="0.15">
      <c r="U464" s="182" t="s">
        <v>76</v>
      </c>
      <c r="V464" s="166">
        <f>IF(S463&lt;=$C$31,$C$29,IF(AND(S463&gt;$C$31,$B$34="Yes"),AVERAGE(U466:U477),$D$34))</f>
        <v>0.08</v>
      </c>
    </row>
    <row r="465" spans="18:25" x14ac:dyDescent="0.15">
      <c r="R465" s="122" t="s">
        <v>70</v>
      </c>
      <c r="S465" s="124">
        <f>$C$24</f>
        <v>0</v>
      </c>
      <c r="T465" s="125">
        <f>100%-$S$87</f>
        <v>1</v>
      </c>
      <c r="U465" s="112" t="s">
        <v>72</v>
      </c>
      <c r="V465" s="115" t="s">
        <v>71</v>
      </c>
      <c r="W465" s="115" t="s">
        <v>67</v>
      </c>
      <c r="X465" s="116" t="s">
        <v>69</v>
      </c>
    </row>
    <row r="466" spans="18:25" x14ac:dyDescent="0.15">
      <c r="R466" s="166">
        <v>1</v>
      </c>
      <c r="S466" s="1">
        <f>$U$463*$C$27</f>
        <v>133.22940954484338</v>
      </c>
      <c r="T466" s="167">
        <f>$U$463*(100%-$C$27)</f>
        <v>199.84411431726508</v>
      </c>
      <c r="U466" s="168">
        <f>U459*(1+$W$463)</f>
        <v>1.3067886063916854</v>
      </c>
      <c r="V466" s="169">
        <f>S466*$V$68</f>
        <v>10.658352763587471</v>
      </c>
      <c r="W466" s="170">
        <f t="shared" ref="W466:W477" si="141">T466*U466</f>
        <v>261.15401164423952</v>
      </c>
      <c r="X466" s="170">
        <f t="shared" ref="X466:X477" si="142">W466+V466</f>
        <v>271.81236440782698</v>
      </c>
    </row>
    <row r="467" spans="18:25" x14ac:dyDescent="0.15">
      <c r="R467" s="166">
        <v>2</v>
      </c>
      <c r="S467" s="1">
        <f t="shared" ref="S467:S477" si="143">$U$463*$C$27</f>
        <v>133.22940954484338</v>
      </c>
      <c r="T467" s="167">
        <f t="shared" ref="T467:T477" si="144">$U$463*(100%-$C$27)</f>
        <v>199.84411431726508</v>
      </c>
      <c r="U467" s="168">
        <f>U466*(1+$W$463)</f>
        <v>1.3144115399289698</v>
      </c>
      <c r="V467" s="169">
        <f t="shared" ref="V467:V477" si="145">S467*$V$68</f>
        <v>10.658352763587471</v>
      </c>
      <c r="W467" s="170">
        <f t="shared" si="141"/>
        <v>262.67741004549748</v>
      </c>
      <c r="X467" s="170">
        <f t="shared" si="142"/>
        <v>273.33576280908494</v>
      </c>
    </row>
    <row r="468" spans="18:25" x14ac:dyDescent="0.15">
      <c r="R468" s="166">
        <v>3</v>
      </c>
      <c r="S468" s="1">
        <f t="shared" si="143"/>
        <v>133.22940954484338</v>
      </c>
      <c r="T468" s="167">
        <f t="shared" si="144"/>
        <v>199.84411431726508</v>
      </c>
      <c r="U468" s="168">
        <f t="shared" ref="U468:U477" si="146">U467*(1+$W$463)</f>
        <v>1.3220789405785549</v>
      </c>
      <c r="V468" s="169">
        <f t="shared" si="145"/>
        <v>10.658352763587471</v>
      </c>
      <c r="W468" s="170">
        <f t="shared" si="141"/>
        <v>264.20969493742945</v>
      </c>
      <c r="X468" s="170">
        <f t="shared" si="142"/>
        <v>274.86804770101691</v>
      </c>
    </row>
    <row r="469" spans="18:25" x14ac:dyDescent="0.15">
      <c r="R469" s="166">
        <v>4</v>
      </c>
      <c r="S469" s="1">
        <f t="shared" si="143"/>
        <v>133.22940954484338</v>
      </c>
      <c r="T469" s="167">
        <f t="shared" si="144"/>
        <v>199.84411431726508</v>
      </c>
      <c r="U469" s="168">
        <f t="shared" si="146"/>
        <v>1.3297910677319293</v>
      </c>
      <c r="V469" s="169">
        <f t="shared" si="145"/>
        <v>10.658352763587471</v>
      </c>
      <c r="W469" s="170">
        <f t="shared" si="141"/>
        <v>265.75091815789767</v>
      </c>
      <c r="X469" s="170">
        <f t="shared" si="142"/>
        <v>276.40927092148513</v>
      </c>
    </row>
    <row r="470" spans="18:25" x14ac:dyDescent="0.15">
      <c r="R470" s="166">
        <v>5</v>
      </c>
      <c r="S470" s="1">
        <f t="shared" si="143"/>
        <v>133.22940954484338</v>
      </c>
      <c r="T470" s="167">
        <f t="shared" si="144"/>
        <v>199.84411431726508</v>
      </c>
      <c r="U470" s="168">
        <f t="shared" si="146"/>
        <v>1.3375481822936983</v>
      </c>
      <c r="V470" s="169">
        <f t="shared" si="145"/>
        <v>10.658352763587471</v>
      </c>
      <c r="W470" s="170">
        <f t="shared" si="141"/>
        <v>267.30113184715196</v>
      </c>
      <c r="X470" s="170">
        <f t="shared" si="142"/>
        <v>277.95948461073942</v>
      </c>
    </row>
    <row r="471" spans="18:25" x14ac:dyDescent="0.15">
      <c r="R471" s="166">
        <v>6</v>
      </c>
      <c r="S471" s="1">
        <f t="shared" si="143"/>
        <v>133.22940954484338</v>
      </c>
      <c r="T471" s="167">
        <f t="shared" si="144"/>
        <v>199.84411431726508</v>
      </c>
      <c r="U471" s="168">
        <f t="shared" si="146"/>
        <v>1.345350546690411</v>
      </c>
      <c r="V471" s="169">
        <f t="shared" si="145"/>
        <v>10.658352763587471</v>
      </c>
      <c r="W471" s="170">
        <f t="shared" si="141"/>
        <v>268.86038844959359</v>
      </c>
      <c r="X471" s="170">
        <f t="shared" si="142"/>
        <v>279.51874121318104</v>
      </c>
    </row>
    <row r="472" spans="18:25" x14ac:dyDescent="0.15">
      <c r="R472" s="166">
        <v>7</v>
      </c>
      <c r="S472" s="1">
        <f t="shared" si="143"/>
        <v>133.22940954484338</v>
      </c>
      <c r="T472" s="167">
        <f t="shared" si="144"/>
        <v>199.84411431726508</v>
      </c>
      <c r="U472" s="168">
        <f t="shared" si="146"/>
        <v>1.3531984248794378</v>
      </c>
      <c r="V472" s="169">
        <f t="shared" si="145"/>
        <v>10.658352763587471</v>
      </c>
      <c r="W472" s="170">
        <f t="shared" si="141"/>
        <v>270.4287407155494</v>
      </c>
      <c r="X472" s="170">
        <f t="shared" si="142"/>
        <v>281.08709347913685</v>
      </c>
    </row>
    <row r="473" spans="18:25" x14ac:dyDescent="0.15">
      <c r="R473" s="166">
        <v>8</v>
      </c>
      <c r="S473" s="1">
        <f t="shared" si="143"/>
        <v>133.22940954484338</v>
      </c>
      <c r="T473" s="167">
        <f t="shared" si="144"/>
        <v>199.84411431726508</v>
      </c>
      <c r="U473" s="168">
        <f t="shared" si="146"/>
        <v>1.3610920823579005</v>
      </c>
      <c r="V473" s="169">
        <f t="shared" si="145"/>
        <v>10.658352763587471</v>
      </c>
      <c r="W473" s="170">
        <f t="shared" si="141"/>
        <v>272.00624170305662</v>
      </c>
      <c r="X473" s="170">
        <f t="shared" si="142"/>
        <v>282.66459446664408</v>
      </c>
    </row>
    <row r="474" spans="18:25" x14ac:dyDescent="0.15">
      <c r="R474" s="166">
        <v>9</v>
      </c>
      <c r="S474" s="1">
        <f t="shared" si="143"/>
        <v>133.22940954484338</v>
      </c>
      <c r="T474" s="167">
        <f t="shared" si="144"/>
        <v>199.84411431726508</v>
      </c>
      <c r="U474" s="168">
        <f t="shared" si="146"/>
        <v>1.3690317861716543</v>
      </c>
      <c r="V474" s="169">
        <f t="shared" si="145"/>
        <v>10.658352763587471</v>
      </c>
      <c r="W474" s="170">
        <f t="shared" si="141"/>
        <v>273.59294477965767</v>
      </c>
      <c r="X474" s="170">
        <f t="shared" si="142"/>
        <v>284.25129754324513</v>
      </c>
    </row>
    <row r="475" spans="18:25" x14ac:dyDescent="0.15">
      <c r="R475" s="166">
        <v>10</v>
      </c>
      <c r="S475" s="1">
        <f t="shared" si="143"/>
        <v>133.22940954484338</v>
      </c>
      <c r="T475" s="167">
        <f t="shared" si="144"/>
        <v>199.84411431726508</v>
      </c>
      <c r="U475" s="168">
        <f t="shared" si="146"/>
        <v>1.3770178049243218</v>
      </c>
      <c r="V475" s="169">
        <f t="shared" si="145"/>
        <v>10.658352763587471</v>
      </c>
      <c r="W475" s="170">
        <f t="shared" si="141"/>
        <v>275.18890362420558</v>
      </c>
      <c r="X475" s="170">
        <f t="shared" si="142"/>
        <v>285.84725638779304</v>
      </c>
    </row>
    <row r="476" spans="18:25" x14ac:dyDescent="0.15">
      <c r="R476" s="166">
        <v>11</v>
      </c>
      <c r="S476" s="1">
        <f t="shared" si="143"/>
        <v>133.22940954484338</v>
      </c>
      <c r="T476" s="167">
        <f t="shared" si="144"/>
        <v>199.84411431726508</v>
      </c>
      <c r="U476" s="168">
        <f t="shared" si="146"/>
        <v>1.3850504087863797</v>
      </c>
      <c r="V476" s="169">
        <f t="shared" si="145"/>
        <v>10.658352763587471</v>
      </c>
      <c r="W476" s="170">
        <f t="shared" si="141"/>
        <v>276.79417222868</v>
      </c>
      <c r="X476" s="170">
        <f t="shared" si="142"/>
        <v>287.45252499226746</v>
      </c>
    </row>
    <row r="477" spans="18:25" x14ac:dyDescent="0.15">
      <c r="R477" s="166">
        <v>12</v>
      </c>
      <c r="S477" s="1">
        <f t="shared" si="143"/>
        <v>133.22940954484338</v>
      </c>
      <c r="T477" s="167">
        <f t="shared" si="144"/>
        <v>199.84411431726508</v>
      </c>
      <c r="U477" s="168">
        <f t="shared" si="146"/>
        <v>1.3931298695042997</v>
      </c>
      <c r="V477" s="169">
        <f t="shared" si="145"/>
        <v>10.658352763587471</v>
      </c>
      <c r="W477" s="170">
        <f t="shared" si="141"/>
        <v>278.40880490001388</v>
      </c>
      <c r="X477" s="170">
        <f t="shared" si="142"/>
        <v>289.06715766360134</v>
      </c>
    </row>
    <row r="478" spans="18:25" ht="16" x14ac:dyDescent="0.3">
      <c r="S478" s="118">
        <f>IF($C$17&gt;=S463,SUM(S466:S477),"")</f>
        <v>1598.7529145381202</v>
      </c>
      <c r="T478" s="119">
        <f>IF($C$17&gt;=S463,SUM(T466:T477),"")</f>
        <v>2398.1293718071811</v>
      </c>
      <c r="U478" s="163">
        <f>IF(Y479="",0,AVERAGE(U466:U477))</f>
        <v>1.3495407716866037</v>
      </c>
      <c r="V478" s="120">
        <f>IF($C$17&gt;=S463,SUM(V466:V477),"")</f>
        <v>127.90023316304966</v>
      </c>
      <c r="W478" s="121">
        <f>IF($C$17&gt;=S463,SUM(W466:W477),"")</f>
        <v>3236.3733630329725</v>
      </c>
      <c r="X478" s="121">
        <f>IF($C$17&gt;=S463,SUM(X466:X477),"")</f>
        <v>3364.2735961960225</v>
      </c>
    </row>
    <row r="479" spans="18:25" x14ac:dyDescent="0.15">
      <c r="W479" s="156" t="s">
        <v>53</v>
      </c>
      <c r="X479" s="117">
        <f>IF(AND($D$38="Yes",$D$40+1=S463,$C$17&gt;=S463),$B$40,0)</f>
        <v>0</v>
      </c>
      <c r="Y479" s="142">
        <f>IF(X478="","",IF($D$38="No",X478,IF($D$38="Yes",X478-X479,X478)))</f>
        <v>3364.2735961960225</v>
      </c>
    </row>
    <row r="480" spans="18:25" ht="14" thickBot="1" x14ac:dyDescent="0.2"/>
    <row r="481" spans="18:24" ht="17" thickBot="1" x14ac:dyDescent="0.25">
      <c r="R481" s="126" t="s">
        <v>48</v>
      </c>
      <c r="S481" s="127">
        <v>24</v>
      </c>
      <c r="T481" s="154" t="s">
        <v>66</v>
      </c>
      <c r="U481" s="143">
        <f>U463-($C$36*U463)</f>
        <v>332.07430329052215</v>
      </c>
      <c r="V481" s="155" t="s">
        <v>68</v>
      </c>
      <c r="W481" s="19">
        <f>ROUND($C$25/12,15)</f>
        <v>5.8333333333329997E-3</v>
      </c>
      <c r="X481" s="161">
        <f>IF(X496="",0,(U481*12-(U481*12)*$C$36)/POWER(1+0,S481))</f>
        <v>3972.9369645678071</v>
      </c>
    </row>
    <row r="482" spans="18:24" x14ac:dyDescent="0.15">
      <c r="U482" s="182" t="s">
        <v>76</v>
      </c>
      <c r="V482" s="166">
        <f>IF(S481&lt;=$C$31,$C$29,IF(AND(S481&gt;$C$31,$B$34="Yes"),AVERAGE(U484:U495),$D$34))</f>
        <v>0.08</v>
      </c>
    </row>
    <row r="483" spans="18:24" x14ac:dyDescent="0.15">
      <c r="R483" s="122" t="s">
        <v>70</v>
      </c>
      <c r="S483" s="124">
        <f>$C$24</f>
        <v>0</v>
      </c>
      <c r="T483" s="125">
        <f>100%-$S$87</f>
        <v>1</v>
      </c>
      <c r="U483" s="112" t="s">
        <v>72</v>
      </c>
      <c r="V483" s="115" t="s">
        <v>71</v>
      </c>
      <c r="W483" s="115" t="s">
        <v>67</v>
      </c>
      <c r="X483" s="116" t="s">
        <v>69</v>
      </c>
    </row>
    <row r="484" spans="18:24" x14ac:dyDescent="0.15">
      <c r="R484" s="166">
        <v>1</v>
      </c>
      <c r="S484" s="1">
        <f>$U$481*$C$27</f>
        <v>132.82972131620886</v>
      </c>
      <c r="T484" s="167">
        <f>$U$481*(100%-$C$27)</f>
        <v>199.24458197431329</v>
      </c>
      <c r="U484" s="168">
        <f>U477*(1+$W$481)</f>
        <v>1.4012564604097408</v>
      </c>
      <c r="V484" s="169">
        <f>S484*$V$68</f>
        <v>10.62637770529671</v>
      </c>
      <c r="W484" s="170">
        <f t="shared" ref="W484:W495" si="147">T484*U484</f>
        <v>279.1927576931447</v>
      </c>
      <c r="X484" s="170">
        <f t="shared" ref="X484:X495" si="148">W484+V484</f>
        <v>289.8191353984414</v>
      </c>
    </row>
    <row r="485" spans="18:24" x14ac:dyDescent="0.15">
      <c r="R485" s="166">
        <v>2</v>
      </c>
      <c r="S485" s="1">
        <f t="shared" ref="S485:S495" si="149">$U$481*$C$27</f>
        <v>132.82972131620886</v>
      </c>
      <c r="T485" s="167">
        <f t="shared" ref="T485:T495" si="150">$U$481*(100%-$C$27)</f>
        <v>199.24458197431329</v>
      </c>
      <c r="U485" s="168">
        <f>U484*(1+$W$481)</f>
        <v>1.4094304564287972</v>
      </c>
      <c r="V485" s="169">
        <f t="shared" ref="V485:V495" si="151">S485*$V$68</f>
        <v>10.62637770529671</v>
      </c>
      <c r="W485" s="170">
        <f t="shared" si="147"/>
        <v>280.82138211302129</v>
      </c>
      <c r="X485" s="170">
        <f t="shared" si="148"/>
        <v>291.44775981831799</v>
      </c>
    </row>
    <row r="486" spans="18:24" x14ac:dyDescent="0.15">
      <c r="R486" s="166">
        <v>3</v>
      </c>
      <c r="S486" s="1">
        <f t="shared" si="149"/>
        <v>132.82972131620886</v>
      </c>
      <c r="T486" s="167">
        <f t="shared" si="150"/>
        <v>199.24458197431329</v>
      </c>
      <c r="U486" s="168">
        <f t="shared" ref="U486:U495" si="152">U485*(1+$W$481)</f>
        <v>1.417652134091298</v>
      </c>
      <c r="V486" s="169">
        <f t="shared" si="151"/>
        <v>10.62637770529671</v>
      </c>
      <c r="W486" s="170">
        <f t="shared" si="147"/>
        <v>282.45950684201381</v>
      </c>
      <c r="X486" s="170">
        <f t="shared" si="148"/>
        <v>293.08588454731051</v>
      </c>
    </row>
    <row r="487" spans="18:24" x14ac:dyDescent="0.15">
      <c r="R487" s="166">
        <v>4</v>
      </c>
      <c r="S487" s="1">
        <f t="shared" si="149"/>
        <v>132.82972131620886</v>
      </c>
      <c r="T487" s="167">
        <f t="shared" si="150"/>
        <v>199.24458197431329</v>
      </c>
      <c r="U487" s="168">
        <f t="shared" si="152"/>
        <v>1.4259217715401633</v>
      </c>
      <c r="V487" s="169">
        <f t="shared" si="151"/>
        <v>10.62637770529671</v>
      </c>
      <c r="W487" s="170">
        <f t="shared" si="147"/>
        <v>284.10718729859212</v>
      </c>
      <c r="X487" s="170">
        <f t="shared" si="148"/>
        <v>294.73356500388883</v>
      </c>
    </row>
    <row r="488" spans="18:24" x14ac:dyDescent="0.15">
      <c r="R488" s="166">
        <v>5</v>
      </c>
      <c r="S488" s="1">
        <f t="shared" si="149"/>
        <v>132.82972131620886</v>
      </c>
      <c r="T488" s="167">
        <f t="shared" si="150"/>
        <v>199.24458197431329</v>
      </c>
      <c r="U488" s="168">
        <f t="shared" si="152"/>
        <v>1.4342396485408138</v>
      </c>
      <c r="V488" s="169">
        <f t="shared" si="151"/>
        <v>10.62637770529671</v>
      </c>
      <c r="W488" s="170">
        <f t="shared" si="147"/>
        <v>285.76447922450046</v>
      </c>
      <c r="X488" s="170">
        <f t="shared" si="148"/>
        <v>296.39085692979717</v>
      </c>
    </row>
    <row r="489" spans="18:24" x14ac:dyDescent="0.15">
      <c r="R489" s="166">
        <v>6</v>
      </c>
      <c r="S489" s="1">
        <f t="shared" si="149"/>
        <v>132.82972131620886</v>
      </c>
      <c r="T489" s="167">
        <f t="shared" si="150"/>
        <v>199.24458197431329</v>
      </c>
      <c r="U489" s="168">
        <f t="shared" si="152"/>
        <v>1.4426060464906345</v>
      </c>
      <c r="V489" s="169">
        <f t="shared" si="151"/>
        <v>10.62637770529671</v>
      </c>
      <c r="W489" s="170">
        <f t="shared" si="147"/>
        <v>287.43143868664322</v>
      </c>
      <c r="X489" s="170">
        <f t="shared" si="148"/>
        <v>298.05781639193992</v>
      </c>
    </row>
    <row r="490" spans="18:24" x14ac:dyDescent="0.15">
      <c r="R490" s="166">
        <v>7</v>
      </c>
      <c r="S490" s="1">
        <f t="shared" si="149"/>
        <v>132.82972131620886</v>
      </c>
      <c r="T490" s="167">
        <f t="shared" si="150"/>
        <v>199.24458197431329</v>
      </c>
      <c r="U490" s="168">
        <f t="shared" si="152"/>
        <v>1.4510212484284959</v>
      </c>
      <c r="V490" s="169">
        <f t="shared" si="151"/>
        <v>10.62637770529671</v>
      </c>
      <c r="W490" s="170">
        <f t="shared" si="147"/>
        <v>289.10812207898186</v>
      </c>
      <c r="X490" s="170">
        <f t="shared" si="148"/>
        <v>299.73449978427857</v>
      </c>
    </row>
    <row r="491" spans="18:24" x14ac:dyDescent="0.15">
      <c r="R491" s="166">
        <v>8</v>
      </c>
      <c r="S491" s="1">
        <f t="shared" si="149"/>
        <v>132.82972131620886</v>
      </c>
      <c r="T491" s="167">
        <f t="shared" si="150"/>
        <v>199.24458197431329</v>
      </c>
      <c r="U491" s="168">
        <f t="shared" si="152"/>
        <v>1.4594855390443282</v>
      </c>
      <c r="V491" s="169">
        <f t="shared" si="151"/>
        <v>10.62637770529671</v>
      </c>
      <c r="W491" s="170">
        <f t="shared" si="147"/>
        <v>290.79458612444245</v>
      </c>
      <c r="X491" s="170">
        <f t="shared" si="148"/>
        <v>301.42096382973915</v>
      </c>
    </row>
    <row r="492" spans="18:24" x14ac:dyDescent="0.15">
      <c r="R492" s="166">
        <v>9</v>
      </c>
      <c r="S492" s="1">
        <f t="shared" si="149"/>
        <v>132.82972131620886</v>
      </c>
      <c r="T492" s="167">
        <f t="shared" si="150"/>
        <v>199.24458197431329</v>
      </c>
      <c r="U492" s="168">
        <f t="shared" si="152"/>
        <v>1.4679992046887529</v>
      </c>
      <c r="V492" s="169">
        <f t="shared" si="151"/>
        <v>10.62637770529671</v>
      </c>
      <c r="W492" s="170">
        <f t="shared" si="147"/>
        <v>292.49088787683496</v>
      </c>
      <c r="X492" s="170">
        <f t="shared" si="148"/>
        <v>303.11726558213167</v>
      </c>
    </row>
    <row r="493" spans="18:24" x14ac:dyDescent="0.15">
      <c r="R493" s="166">
        <v>10</v>
      </c>
      <c r="S493" s="1">
        <f t="shared" si="149"/>
        <v>132.82972131620886</v>
      </c>
      <c r="T493" s="167">
        <f t="shared" si="150"/>
        <v>199.24458197431329</v>
      </c>
      <c r="U493" s="168">
        <f t="shared" si="152"/>
        <v>1.4765625333827701</v>
      </c>
      <c r="V493" s="169">
        <f t="shared" si="151"/>
        <v>10.62637770529671</v>
      </c>
      <c r="W493" s="170">
        <f t="shared" si="147"/>
        <v>294.19708472278302</v>
      </c>
      <c r="X493" s="170">
        <f t="shared" si="148"/>
        <v>304.82346242807972</v>
      </c>
    </row>
    <row r="494" spans="18:24" x14ac:dyDescent="0.15">
      <c r="R494" s="166">
        <v>11</v>
      </c>
      <c r="S494" s="1">
        <f t="shared" si="149"/>
        <v>132.82972131620886</v>
      </c>
      <c r="T494" s="167">
        <f t="shared" si="150"/>
        <v>199.24458197431329</v>
      </c>
      <c r="U494" s="168">
        <f t="shared" si="152"/>
        <v>1.4851758148275023</v>
      </c>
      <c r="V494" s="169">
        <f t="shared" si="151"/>
        <v>10.62637770529671</v>
      </c>
      <c r="W494" s="170">
        <f t="shared" si="147"/>
        <v>295.91323438366584</v>
      </c>
      <c r="X494" s="170">
        <f t="shared" si="148"/>
        <v>306.53961208896254</v>
      </c>
    </row>
    <row r="495" spans="18:24" x14ac:dyDescent="0.15">
      <c r="R495" s="166">
        <v>12</v>
      </c>
      <c r="S495" s="1">
        <f t="shared" si="149"/>
        <v>132.82972131620886</v>
      </c>
      <c r="T495" s="167">
        <f t="shared" si="150"/>
        <v>199.24458197431329</v>
      </c>
      <c r="U495" s="168">
        <f t="shared" si="152"/>
        <v>1.4938393404139954</v>
      </c>
      <c r="V495" s="169">
        <f t="shared" si="151"/>
        <v>10.62637770529671</v>
      </c>
      <c r="W495" s="170">
        <f t="shared" si="147"/>
        <v>297.63939491757037</v>
      </c>
      <c r="X495" s="170">
        <f t="shared" si="148"/>
        <v>308.26577262286708</v>
      </c>
    </row>
    <row r="496" spans="18:24" ht="16" x14ac:dyDescent="0.3">
      <c r="S496" s="118">
        <f>IF($C$17&gt;=S481,SUM(S484:S495),"")</f>
        <v>1593.9566557945063</v>
      </c>
      <c r="T496" s="119">
        <f>IF($C$17&gt;=S481,SUM(T484:T495),"")</f>
        <v>2390.93498369176</v>
      </c>
      <c r="U496" s="163">
        <f>IF(Y497="",0,AVERAGE(U484:U495))</f>
        <v>1.4470991831906075</v>
      </c>
      <c r="V496" s="120">
        <f>IF($C$17&gt;=S481,SUM(V484:V495),"")</f>
        <v>127.51653246356049</v>
      </c>
      <c r="W496" s="121">
        <f>IF($C$17&gt;=S481,SUM(W484:W495),"")</f>
        <v>3459.9200619621947</v>
      </c>
      <c r="X496" s="121">
        <f>IF($C$17&gt;=S481,SUM(X484:X495),"")</f>
        <v>3587.4365944257547</v>
      </c>
    </row>
    <row r="497" spans="18:25" x14ac:dyDescent="0.15">
      <c r="W497" s="156" t="s">
        <v>53</v>
      </c>
      <c r="X497" s="117">
        <f>IF(AND($D$38="Yes",$D$40+1=S481,$C$17&gt;=S481),$B$40,0)</f>
        <v>0</v>
      </c>
      <c r="Y497" s="142">
        <f>IF(X496="","",IF($D$38="No",X496,IF($D$38="Yes",X496-X497,X496)))</f>
        <v>3587.4365944257547</v>
      </c>
    </row>
    <row r="498" spans="18:25" ht="14" thickBot="1" x14ac:dyDescent="0.2"/>
    <row r="499" spans="18:25" ht="17" thickBot="1" x14ac:dyDescent="0.25">
      <c r="R499" s="126" t="s">
        <v>48</v>
      </c>
      <c r="S499" s="127">
        <v>25</v>
      </c>
      <c r="T499" s="154" t="s">
        <v>66</v>
      </c>
      <c r="U499" s="143">
        <f>U481-($C$36*U481)</f>
        <v>331.07808038065059</v>
      </c>
      <c r="V499" s="155" t="s">
        <v>68</v>
      </c>
      <c r="W499" s="19">
        <f>ROUND($C$25/12,15)</f>
        <v>5.8333333333329997E-3</v>
      </c>
      <c r="X499" s="161">
        <f>IF(X514="",0,(U499*12-(U499*12)*$C$36)/POWER(1+0,S499))</f>
        <v>3961.0181536741038</v>
      </c>
    </row>
    <row r="500" spans="18:25" x14ac:dyDescent="0.15">
      <c r="U500" s="182" t="s">
        <v>76</v>
      </c>
      <c r="V500" s="166">
        <f>IF(S499&lt;=$C$31,$C$29,IF(AND(S499&gt;$C$31,$B$34="Yes"),AVERAGE(U502:U513),$D$34))</f>
        <v>0.08</v>
      </c>
    </row>
    <row r="501" spans="18:25" x14ac:dyDescent="0.15">
      <c r="R501" s="122" t="s">
        <v>70</v>
      </c>
      <c r="S501" s="124">
        <f>$C$24</f>
        <v>0</v>
      </c>
      <c r="T501" s="125">
        <f>100%-$S$87</f>
        <v>1</v>
      </c>
      <c r="U501" s="112" t="s">
        <v>72</v>
      </c>
      <c r="V501" s="115" t="s">
        <v>71</v>
      </c>
      <c r="W501" s="115" t="s">
        <v>67</v>
      </c>
      <c r="X501" s="116" t="s">
        <v>69</v>
      </c>
    </row>
    <row r="502" spans="18:25" x14ac:dyDescent="0.15">
      <c r="R502" s="166">
        <v>1</v>
      </c>
      <c r="S502" s="1">
        <f>$U$499*$C$27</f>
        <v>132.43123215226024</v>
      </c>
      <c r="T502" s="167">
        <f>$U$499*(100%-$C$27)</f>
        <v>198.64684822839035</v>
      </c>
      <c r="U502" s="168">
        <f>U495*(1+$W$499)</f>
        <v>1.5025534032330763</v>
      </c>
      <c r="V502" s="169">
        <f>S502*$V$68</f>
        <v>10.59449857218082</v>
      </c>
      <c r="W502" s="170">
        <f t="shared" ref="W502:W513" si="153">T502*U502</f>
        <v>298.47749784709231</v>
      </c>
      <c r="X502" s="170">
        <f t="shared" ref="X502:X513" si="154">W502+V502</f>
        <v>309.07199641927315</v>
      </c>
    </row>
    <row r="503" spans="18:25" x14ac:dyDescent="0.15">
      <c r="R503" s="166">
        <v>2</v>
      </c>
      <c r="S503" s="1">
        <f t="shared" ref="S503:S513" si="155">$U$499*$C$27</f>
        <v>132.43123215226024</v>
      </c>
      <c r="T503" s="167">
        <f t="shared" ref="T503:T513" si="156">$U$499*(100%-$C$27)</f>
        <v>198.64684822839035</v>
      </c>
      <c r="U503" s="168">
        <f>U502*(1+$W$499)</f>
        <v>1.5113182980852686</v>
      </c>
      <c r="V503" s="169">
        <f t="shared" ref="V503:V513" si="157">S503*$V$68</f>
        <v>10.59449857218082</v>
      </c>
      <c r="W503" s="170">
        <f t="shared" si="153"/>
        <v>300.21861658453355</v>
      </c>
      <c r="X503" s="170">
        <f t="shared" si="154"/>
        <v>310.81311515671439</v>
      </c>
    </row>
    <row r="504" spans="18:25" x14ac:dyDescent="0.15">
      <c r="R504" s="166">
        <v>3</v>
      </c>
      <c r="S504" s="1">
        <f t="shared" si="155"/>
        <v>132.43123215226024</v>
      </c>
      <c r="T504" s="167">
        <f t="shared" si="156"/>
        <v>198.64684822839035</v>
      </c>
      <c r="U504" s="168">
        <f t="shared" ref="U504:U513" si="158">U503*(1+$W$499)</f>
        <v>1.5201343214907654</v>
      </c>
      <c r="V504" s="169">
        <f t="shared" si="157"/>
        <v>10.59449857218082</v>
      </c>
      <c r="W504" s="170">
        <f t="shared" si="153"/>
        <v>301.96989184794325</v>
      </c>
      <c r="X504" s="170">
        <f t="shared" si="154"/>
        <v>312.56439042012408</v>
      </c>
    </row>
    <row r="505" spans="18:25" x14ac:dyDescent="0.15">
      <c r="R505" s="166">
        <v>4</v>
      </c>
      <c r="S505" s="1">
        <f t="shared" si="155"/>
        <v>132.43123215226024</v>
      </c>
      <c r="T505" s="167">
        <f t="shared" si="156"/>
        <v>198.64684822839035</v>
      </c>
      <c r="U505" s="168">
        <f t="shared" si="158"/>
        <v>1.5290017716994608</v>
      </c>
      <c r="V505" s="169">
        <f t="shared" si="157"/>
        <v>10.59449857218082</v>
      </c>
      <c r="W505" s="170">
        <f t="shared" si="153"/>
        <v>303.73138288372274</v>
      </c>
      <c r="X505" s="170">
        <f t="shared" si="154"/>
        <v>314.32588145590358</v>
      </c>
    </row>
    <row r="506" spans="18:25" x14ac:dyDescent="0.15">
      <c r="R506" s="166">
        <v>5</v>
      </c>
      <c r="S506" s="1">
        <f t="shared" si="155"/>
        <v>132.43123215226024</v>
      </c>
      <c r="T506" s="167">
        <f t="shared" si="156"/>
        <v>198.64684822839035</v>
      </c>
      <c r="U506" s="168">
        <f t="shared" si="158"/>
        <v>1.5379209487010403</v>
      </c>
      <c r="V506" s="169">
        <f t="shared" si="157"/>
        <v>10.59449857218082</v>
      </c>
      <c r="W506" s="170">
        <f t="shared" si="153"/>
        <v>305.50314928387769</v>
      </c>
      <c r="X506" s="170">
        <f t="shared" si="154"/>
        <v>316.09764785605853</v>
      </c>
    </row>
    <row r="507" spans="18:25" x14ac:dyDescent="0.15">
      <c r="R507" s="166">
        <v>6</v>
      </c>
      <c r="S507" s="1">
        <f t="shared" si="155"/>
        <v>132.43123215226024</v>
      </c>
      <c r="T507" s="167">
        <f t="shared" si="156"/>
        <v>198.64684822839035</v>
      </c>
      <c r="U507" s="168">
        <f t="shared" si="158"/>
        <v>1.546892154235129</v>
      </c>
      <c r="V507" s="169">
        <f t="shared" si="157"/>
        <v>10.59449857218082</v>
      </c>
      <c r="W507" s="170">
        <f t="shared" si="153"/>
        <v>307.28525098803351</v>
      </c>
      <c r="X507" s="170">
        <f t="shared" si="154"/>
        <v>317.87974956021435</v>
      </c>
    </row>
    <row r="508" spans="18:25" x14ac:dyDescent="0.15">
      <c r="R508" s="166">
        <v>7</v>
      </c>
      <c r="S508" s="1">
        <f t="shared" si="155"/>
        <v>132.43123215226024</v>
      </c>
      <c r="T508" s="167">
        <f t="shared" si="156"/>
        <v>198.64684822839035</v>
      </c>
      <c r="U508" s="168">
        <f t="shared" si="158"/>
        <v>1.5559156918015</v>
      </c>
      <c r="V508" s="169">
        <f t="shared" si="157"/>
        <v>10.59449857218082</v>
      </c>
      <c r="W508" s="170">
        <f t="shared" si="153"/>
        <v>309.07774828546354</v>
      </c>
      <c r="X508" s="170">
        <f t="shared" si="154"/>
        <v>319.67224685764438</v>
      </c>
    </row>
    <row r="509" spans="18:25" x14ac:dyDescent="0.15">
      <c r="R509" s="166">
        <v>8</v>
      </c>
      <c r="S509" s="1">
        <f t="shared" si="155"/>
        <v>132.43123215226024</v>
      </c>
      <c r="T509" s="167">
        <f t="shared" si="156"/>
        <v>198.64684822839035</v>
      </c>
      <c r="U509" s="168">
        <f t="shared" si="158"/>
        <v>1.5649918666703415</v>
      </c>
      <c r="V509" s="169">
        <f t="shared" si="157"/>
        <v>10.59449857218082</v>
      </c>
      <c r="W509" s="170">
        <f t="shared" si="153"/>
        <v>310.88070181712862</v>
      </c>
      <c r="X509" s="170">
        <f t="shared" si="154"/>
        <v>321.47520038930946</v>
      </c>
    </row>
    <row r="510" spans="18:25" x14ac:dyDescent="0.15">
      <c r="R510" s="166">
        <v>9</v>
      </c>
      <c r="S510" s="1">
        <f t="shared" si="155"/>
        <v>132.43123215226024</v>
      </c>
      <c r="T510" s="167">
        <f t="shared" si="156"/>
        <v>198.64684822839035</v>
      </c>
      <c r="U510" s="168">
        <f t="shared" si="158"/>
        <v>1.5741209858925844</v>
      </c>
      <c r="V510" s="169">
        <f t="shared" si="157"/>
        <v>10.59449857218082</v>
      </c>
      <c r="W510" s="170">
        <f t="shared" si="153"/>
        <v>312.69417257772841</v>
      </c>
      <c r="X510" s="170">
        <f t="shared" si="154"/>
        <v>323.28867114990925</v>
      </c>
    </row>
    <row r="511" spans="18:25" x14ac:dyDescent="0.15">
      <c r="R511" s="166">
        <v>10</v>
      </c>
      <c r="S511" s="1">
        <f t="shared" si="155"/>
        <v>132.43123215226024</v>
      </c>
      <c r="T511" s="167">
        <f t="shared" si="156"/>
        <v>198.64684822839035</v>
      </c>
      <c r="U511" s="168">
        <f t="shared" si="158"/>
        <v>1.5833033583102905</v>
      </c>
      <c r="V511" s="169">
        <f t="shared" si="157"/>
        <v>10.59449857218082</v>
      </c>
      <c r="W511" s="170">
        <f t="shared" si="153"/>
        <v>314.518221917765</v>
      </c>
      <c r="X511" s="170">
        <f t="shared" si="154"/>
        <v>325.11272048994584</v>
      </c>
    </row>
    <row r="512" spans="18:25" x14ac:dyDescent="0.15">
      <c r="R512" s="166">
        <v>11</v>
      </c>
      <c r="S512" s="1">
        <f t="shared" si="155"/>
        <v>132.43123215226024</v>
      </c>
      <c r="T512" s="167">
        <f t="shared" si="156"/>
        <v>198.64684822839035</v>
      </c>
      <c r="U512" s="168">
        <f t="shared" si="158"/>
        <v>1.5925392945670998</v>
      </c>
      <c r="V512" s="169">
        <f t="shared" si="157"/>
        <v>10.59449857218082</v>
      </c>
      <c r="W512" s="170">
        <f t="shared" si="153"/>
        <v>316.3529115456185</v>
      </c>
      <c r="X512" s="170">
        <f t="shared" si="154"/>
        <v>326.94741011779934</v>
      </c>
    </row>
    <row r="513" spans="18:25" x14ac:dyDescent="0.15">
      <c r="R513" s="166">
        <v>12</v>
      </c>
      <c r="S513" s="1">
        <f t="shared" si="155"/>
        <v>132.43123215226024</v>
      </c>
      <c r="T513" s="167">
        <f t="shared" si="156"/>
        <v>198.64684822839035</v>
      </c>
      <c r="U513" s="168">
        <f t="shared" si="158"/>
        <v>1.6018291071187405</v>
      </c>
      <c r="V513" s="169">
        <f t="shared" si="157"/>
        <v>10.59449857218082</v>
      </c>
      <c r="W513" s="170">
        <f t="shared" si="153"/>
        <v>318.19830352963447</v>
      </c>
      <c r="X513" s="170">
        <f t="shared" si="154"/>
        <v>328.79280210181531</v>
      </c>
    </row>
    <row r="514" spans="18:25" ht="16" x14ac:dyDescent="0.3">
      <c r="S514" s="118">
        <f>IF($C$17&gt;=S499,SUM(S502:S513),"")</f>
        <v>1589.1747858271228</v>
      </c>
      <c r="T514" s="119">
        <f>IF($C$17&gt;=S499,SUM(T502:T513),"")</f>
        <v>2383.7621787406842</v>
      </c>
      <c r="U514" s="163">
        <f>IF(Y515="",0,AVERAGE(U502:U513))</f>
        <v>1.5517101001504414</v>
      </c>
      <c r="V514" s="120">
        <f>IF($C$17&gt;=S499,SUM(V502:V513),"")</f>
        <v>127.13398286616986</v>
      </c>
      <c r="W514" s="121">
        <f>IF($C$17&gt;=S499,SUM(W502:W513),"")</f>
        <v>3698.9078491085415</v>
      </c>
      <c r="X514" s="121">
        <f>IF($C$17&gt;=S499,SUM(X502:X513),"")</f>
        <v>3826.0418319747114</v>
      </c>
    </row>
    <row r="515" spans="18:25" x14ac:dyDescent="0.15">
      <c r="W515" s="156" t="s">
        <v>53</v>
      </c>
      <c r="X515" s="117">
        <f>IF(AND($D$38="Yes",$D$40+1=S499,$C$17&gt;=S499),$B$40,0)</f>
        <v>0</v>
      </c>
      <c r="Y515" s="142">
        <f>IF(X514="","",IF($D$38="No",X514,IF($D$38="Yes",X514-X515,X514)))</f>
        <v>3826.0418319747114</v>
      </c>
    </row>
    <row r="516" spans="18:25" ht="14" thickBot="1" x14ac:dyDescent="0.2"/>
    <row r="517" spans="18:25" ht="17" thickBot="1" x14ac:dyDescent="0.25">
      <c r="R517" s="126" t="s">
        <v>48</v>
      </c>
      <c r="S517" s="127">
        <v>26</v>
      </c>
      <c r="T517" s="154" t="s">
        <v>66</v>
      </c>
      <c r="U517" s="143">
        <f>U499-($C$36*U499)</f>
        <v>330.08484613950861</v>
      </c>
      <c r="V517" s="155" t="s">
        <v>68</v>
      </c>
      <c r="W517" s="19">
        <f>ROUND($C$25/12,15)</f>
        <v>5.8333333333329997E-3</v>
      </c>
      <c r="X517" s="161">
        <f>IF(X532="",0,(U517*12-(U517*12)*$C$36)/POWER(1+0,S517))</f>
        <v>3949.135099213081</v>
      </c>
    </row>
    <row r="518" spans="18:25" x14ac:dyDescent="0.15">
      <c r="U518" s="182" t="s">
        <v>76</v>
      </c>
      <c r="V518" s="166">
        <f>IF(S517&lt;=$C$31,$C$29,IF(AND(S517&gt;$C$31,$B$34="Yes"),AVERAGE(U520:U531),$D$34))</f>
        <v>0.08</v>
      </c>
    </row>
    <row r="519" spans="18:25" x14ac:dyDescent="0.15">
      <c r="R519" s="122" t="s">
        <v>70</v>
      </c>
      <c r="S519" s="124">
        <f>$C$24</f>
        <v>0</v>
      </c>
      <c r="T519" s="125">
        <f>100%-$S$87</f>
        <v>1</v>
      </c>
      <c r="U519" s="112" t="s">
        <v>72</v>
      </c>
      <c r="V519" s="115" t="s">
        <v>71</v>
      </c>
      <c r="W519" s="115" t="s">
        <v>67</v>
      </c>
      <c r="X519" s="116" t="s">
        <v>69</v>
      </c>
    </row>
    <row r="520" spans="18:25" x14ac:dyDescent="0.15">
      <c r="R520" s="166">
        <v>1</v>
      </c>
      <c r="S520" s="1">
        <f>$U$517*$C$27</f>
        <v>132.03393845580345</v>
      </c>
      <c r="T520" s="167">
        <f>$U$517*(100%-$C$27)</f>
        <v>198.05090768370516</v>
      </c>
      <c r="U520" s="168">
        <f>U513*(1+$W$517)</f>
        <v>1.6111731102435991</v>
      </c>
      <c r="V520" s="169">
        <f>S520*$V$68</f>
        <v>10.562715076464276</v>
      </c>
      <c r="W520" s="170">
        <f t="shared" ref="W520:W531" si="159">T520*U520</f>
        <v>319.09429691932314</v>
      </c>
      <c r="X520" s="170">
        <f t="shared" ref="X520:X531" si="160">W520+V520</f>
        <v>329.6570119957874</v>
      </c>
    </row>
    <row r="521" spans="18:25" x14ac:dyDescent="0.15">
      <c r="R521" s="166">
        <v>2</v>
      </c>
      <c r="S521" s="1">
        <f t="shared" ref="S521:S531" si="161">$U$517*$C$27</f>
        <v>132.03393845580345</v>
      </c>
      <c r="T521" s="167">
        <f t="shared" ref="T521:T531" si="162">$U$517*(100%-$C$27)</f>
        <v>198.05090768370516</v>
      </c>
      <c r="U521" s="168">
        <f>U520*(1+$W$517)</f>
        <v>1.6205716200533526</v>
      </c>
      <c r="V521" s="169">
        <f t="shared" ref="V521:V531" si="163">S521*$V$68</f>
        <v>10.562715076464276</v>
      </c>
      <c r="W521" s="170">
        <f t="shared" si="159"/>
        <v>320.95568031801906</v>
      </c>
      <c r="X521" s="170">
        <f t="shared" si="160"/>
        <v>331.51839539448332</v>
      </c>
    </row>
    <row r="522" spans="18:25" x14ac:dyDescent="0.15">
      <c r="R522" s="166">
        <v>3</v>
      </c>
      <c r="S522" s="1">
        <f t="shared" si="161"/>
        <v>132.03393845580345</v>
      </c>
      <c r="T522" s="167">
        <f t="shared" si="162"/>
        <v>198.05090768370516</v>
      </c>
      <c r="U522" s="168">
        <f t="shared" ref="U522:U531" si="164">U521*(1+$W$517)</f>
        <v>1.6300249545036631</v>
      </c>
      <c r="V522" s="169">
        <f t="shared" si="163"/>
        <v>10.562715076464276</v>
      </c>
      <c r="W522" s="170">
        <f t="shared" si="159"/>
        <v>322.82792178654068</v>
      </c>
      <c r="X522" s="170">
        <f t="shared" si="160"/>
        <v>333.39063686300494</v>
      </c>
    </row>
    <row r="523" spans="18:25" x14ac:dyDescent="0.15">
      <c r="R523" s="166">
        <v>4</v>
      </c>
      <c r="S523" s="1">
        <f t="shared" si="161"/>
        <v>132.03393845580345</v>
      </c>
      <c r="T523" s="167">
        <f t="shared" si="162"/>
        <v>198.05090768370516</v>
      </c>
      <c r="U523" s="168">
        <f t="shared" si="164"/>
        <v>1.6395334334049338</v>
      </c>
      <c r="V523" s="169">
        <f t="shared" si="163"/>
        <v>10.562715076464276</v>
      </c>
      <c r="W523" s="170">
        <f t="shared" si="159"/>
        <v>324.7110846636287</v>
      </c>
      <c r="X523" s="170">
        <f t="shared" si="160"/>
        <v>335.27379974009295</v>
      </c>
    </row>
    <row r="524" spans="18:25" x14ac:dyDescent="0.15">
      <c r="R524" s="166">
        <v>5</v>
      </c>
      <c r="S524" s="1">
        <f t="shared" si="161"/>
        <v>132.03393845580345</v>
      </c>
      <c r="T524" s="167">
        <f t="shared" si="162"/>
        <v>198.05090768370516</v>
      </c>
      <c r="U524" s="168">
        <f t="shared" si="164"/>
        <v>1.6490973784331286</v>
      </c>
      <c r="V524" s="169">
        <f t="shared" si="163"/>
        <v>10.562715076464276</v>
      </c>
      <c r="W524" s="170">
        <f t="shared" si="159"/>
        <v>326.60523265749976</v>
      </c>
      <c r="X524" s="170">
        <f t="shared" si="160"/>
        <v>337.16794773396401</v>
      </c>
    </row>
    <row r="525" spans="18:25" x14ac:dyDescent="0.15">
      <c r="R525" s="166">
        <v>6</v>
      </c>
      <c r="S525" s="1">
        <f t="shared" si="161"/>
        <v>132.03393845580345</v>
      </c>
      <c r="T525" s="167">
        <f t="shared" si="162"/>
        <v>198.05090768370516</v>
      </c>
      <c r="U525" s="168">
        <f t="shared" si="164"/>
        <v>1.6587171131406546</v>
      </c>
      <c r="V525" s="169">
        <f t="shared" si="163"/>
        <v>10.562715076464276</v>
      </c>
      <c r="W525" s="170">
        <f t="shared" si="159"/>
        <v>328.51042984800171</v>
      </c>
      <c r="X525" s="170">
        <f t="shared" si="160"/>
        <v>339.07314492446596</v>
      </c>
    </row>
    <row r="526" spans="18:25" x14ac:dyDescent="0.15">
      <c r="R526" s="166">
        <v>7</v>
      </c>
      <c r="S526" s="1">
        <f t="shared" si="161"/>
        <v>132.03393845580345</v>
      </c>
      <c r="T526" s="167">
        <f t="shared" si="162"/>
        <v>198.05090768370516</v>
      </c>
      <c r="U526" s="168">
        <f t="shared" si="164"/>
        <v>1.6683929629673078</v>
      </c>
      <c r="V526" s="169">
        <f t="shared" si="163"/>
        <v>10.562715076464276</v>
      </c>
      <c r="W526" s="170">
        <f t="shared" si="159"/>
        <v>330.42674068878159</v>
      </c>
      <c r="X526" s="170">
        <f t="shared" si="160"/>
        <v>340.98945576524585</v>
      </c>
    </row>
    <row r="527" spans="18:25" x14ac:dyDescent="0.15">
      <c r="R527" s="166">
        <v>8</v>
      </c>
      <c r="S527" s="1">
        <f t="shared" si="161"/>
        <v>132.03393845580345</v>
      </c>
      <c r="T527" s="167">
        <f t="shared" si="162"/>
        <v>198.05090768370516</v>
      </c>
      <c r="U527" s="168">
        <f t="shared" si="164"/>
        <v>1.6781252552512831</v>
      </c>
      <c r="V527" s="169">
        <f t="shared" si="163"/>
        <v>10.562715076464276</v>
      </c>
      <c r="W527" s="170">
        <f t="shared" si="159"/>
        <v>332.35423000946605</v>
      </c>
      <c r="X527" s="170">
        <f t="shared" si="160"/>
        <v>342.91694508593031</v>
      </c>
    </row>
    <row r="528" spans="18:25" x14ac:dyDescent="0.15">
      <c r="R528" s="166">
        <v>9</v>
      </c>
      <c r="S528" s="1">
        <f t="shared" si="161"/>
        <v>132.03393845580345</v>
      </c>
      <c r="T528" s="167">
        <f t="shared" si="162"/>
        <v>198.05090768370516</v>
      </c>
      <c r="U528" s="168">
        <f t="shared" si="164"/>
        <v>1.6879143192402482</v>
      </c>
      <c r="V528" s="169">
        <f t="shared" si="163"/>
        <v>10.562715076464276</v>
      </c>
      <c r="W528" s="170">
        <f t="shared" si="159"/>
        <v>334.29296301785445</v>
      </c>
      <c r="X528" s="170">
        <f t="shared" si="160"/>
        <v>344.85567809431871</v>
      </c>
    </row>
    <row r="529" spans="18:25" x14ac:dyDescent="0.15">
      <c r="R529" s="166">
        <v>10</v>
      </c>
      <c r="S529" s="1">
        <f t="shared" si="161"/>
        <v>132.03393845580345</v>
      </c>
      <c r="T529" s="167">
        <f t="shared" si="162"/>
        <v>198.05090768370516</v>
      </c>
      <c r="U529" s="168">
        <f t="shared" si="164"/>
        <v>1.6977604861024822</v>
      </c>
      <c r="V529" s="169">
        <f t="shared" si="163"/>
        <v>10.562715076464276</v>
      </c>
      <c r="W529" s="170">
        <f t="shared" si="159"/>
        <v>336.24300530212508</v>
      </c>
      <c r="X529" s="170">
        <f t="shared" si="160"/>
        <v>346.80572037858934</v>
      </c>
    </row>
    <row r="530" spans="18:25" x14ac:dyDescent="0.15">
      <c r="R530" s="166">
        <v>11</v>
      </c>
      <c r="S530" s="1">
        <f t="shared" si="161"/>
        <v>132.03393845580345</v>
      </c>
      <c r="T530" s="167">
        <f t="shared" si="162"/>
        <v>198.05090768370516</v>
      </c>
      <c r="U530" s="168">
        <f t="shared" si="164"/>
        <v>1.7076640889380792</v>
      </c>
      <c r="V530" s="169">
        <f t="shared" si="163"/>
        <v>10.562715076464276</v>
      </c>
      <c r="W530" s="170">
        <f t="shared" si="159"/>
        <v>338.20442283305402</v>
      </c>
      <c r="X530" s="170">
        <f t="shared" si="160"/>
        <v>348.76713790951828</v>
      </c>
    </row>
    <row r="531" spans="18:25" x14ac:dyDescent="0.15">
      <c r="R531" s="166">
        <v>12</v>
      </c>
      <c r="S531" s="1">
        <f t="shared" si="161"/>
        <v>132.03393845580345</v>
      </c>
      <c r="T531" s="167">
        <f t="shared" si="162"/>
        <v>198.05090768370516</v>
      </c>
      <c r="U531" s="168">
        <f t="shared" si="164"/>
        <v>1.7176254627902172</v>
      </c>
      <c r="V531" s="169">
        <f t="shared" si="163"/>
        <v>10.562715076464276</v>
      </c>
      <c r="W531" s="170">
        <f t="shared" si="159"/>
        <v>340.17728196624665</v>
      </c>
      <c r="X531" s="170">
        <f t="shared" si="160"/>
        <v>350.73999704271091</v>
      </c>
    </row>
    <row r="532" spans="18:25" ht="16" x14ac:dyDescent="0.3">
      <c r="S532" s="118">
        <f>IF($C$17&gt;=S517,SUM(S520:S531),"")</f>
        <v>1584.4072614696418</v>
      </c>
      <c r="T532" s="119">
        <f>IF($C$17&gt;=S517,SUM(T520:T531),"")</f>
        <v>2376.6108922044618</v>
      </c>
      <c r="U532" s="163">
        <f>IF(Y533="",0,AVERAGE(U520:U531))</f>
        <v>1.6638833487557456</v>
      </c>
      <c r="V532" s="120">
        <f>IF($C$17&gt;=S517,SUM(V520:V531),"")</f>
        <v>126.75258091757128</v>
      </c>
      <c r="W532" s="121">
        <f>IF($C$17&gt;=S517,SUM(W520:W531),"")</f>
        <v>3954.4032900105412</v>
      </c>
      <c r="X532" s="121">
        <f>IF($C$17&gt;=S517,SUM(X520:X531),"")</f>
        <v>4081.1558709281117</v>
      </c>
    </row>
    <row r="533" spans="18:25" x14ac:dyDescent="0.15">
      <c r="W533" s="156" t="s">
        <v>53</v>
      </c>
      <c r="X533" s="117">
        <f>IF(AND($D$38="Yes",$D$40+1=S517,$C$17&gt;=S517),$B$40,0)</f>
        <v>0</v>
      </c>
      <c r="Y533" s="142">
        <f>IF(X532="","",IF($D$38="No",X532,IF($D$38="Yes",X532-X533,X532)))</f>
        <v>4081.1558709281117</v>
      </c>
    </row>
    <row r="534" spans="18:25" ht="14" thickBot="1" x14ac:dyDescent="0.2"/>
    <row r="535" spans="18:25" ht="17" thickBot="1" x14ac:dyDescent="0.25">
      <c r="R535" s="126" t="s">
        <v>48</v>
      </c>
      <c r="S535" s="127">
        <v>27</v>
      </c>
      <c r="T535" s="154" t="s">
        <v>66</v>
      </c>
      <c r="U535" s="143">
        <f>U517-($C$36*U517)</f>
        <v>329.09459160109009</v>
      </c>
      <c r="V535" s="155" t="s">
        <v>68</v>
      </c>
      <c r="W535" s="19">
        <f>ROUND($C$25/12,15)</f>
        <v>5.8333333333329997E-3</v>
      </c>
      <c r="X535" s="161">
        <f>IF(X550="",0,(U535*12-(U535*12)*$C$36)/POWER(1+0,S535))</f>
        <v>3937.2876939154417</v>
      </c>
    </row>
    <row r="536" spans="18:25" x14ac:dyDescent="0.15">
      <c r="U536" s="182" t="s">
        <v>76</v>
      </c>
      <c r="V536" s="166">
        <f>IF(S535&lt;=$C$31,$C$29,IF(AND(S535&gt;$C$31,$B$34="Yes"),AVERAGE(U538:U549),$D$34))</f>
        <v>0.08</v>
      </c>
    </row>
    <row r="537" spans="18:25" x14ac:dyDescent="0.15">
      <c r="R537" s="122" t="s">
        <v>70</v>
      </c>
      <c r="S537" s="124">
        <f>$C$24</f>
        <v>0</v>
      </c>
      <c r="T537" s="125">
        <f>100%-$S$87</f>
        <v>1</v>
      </c>
      <c r="U537" s="112" t="s">
        <v>72</v>
      </c>
      <c r="V537" s="115" t="s">
        <v>71</v>
      </c>
      <c r="W537" s="115" t="s">
        <v>67</v>
      </c>
      <c r="X537" s="116" t="s">
        <v>69</v>
      </c>
    </row>
    <row r="538" spans="18:25" x14ac:dyDescent="0.15">
      <c r="R538" s="166">
        <v>1</v>
      </c>
      <c r="S538" s="1">
        <f>$U$535*$C$27</f>
        <v>131.63783664043603</v>
      </c>
      <c r="T538" s="167">
        <f>$U$535*(100%-$C$27)</f>
        <v>197.45675496065405</v>
      </c>
      <c r="U538" s="168">
        <f>U531*(1+$W$535)</f>
        <v>1.7276449446564928</v>
      </c>
      <c r="V538" s="169">
        <f>S538*$V$68</f>
        <v>10.531026931234884</v>
      </c>
      <c r="W538" s="170">
        <f t="shared" ref="W538:W549" si="165">T538*U538</f>
        <v>341.13516449604981</v>
      </c>
      <c r="X538" s="170">
        <f t="shared" ref="X538:X549" si="166">W538+V538</f>
        <v>351.66619142728467</v>
      </c>
    </row>
    <row r="539" spans="18:25" x14ac:dyDescent="0.15">
      <c r="R539" s="166">
        <v>2</v>
      </c>
      <c r="S539" s="1">
        <f t="shared" ref="S539:S549" si="167">$U$535*$C$27</f>
        <v>131.63783664043603</v>
      </c>
      <c r="T539" s="167">
        <f t="shared" ref="T539:T549" si="168">$U$535*(100%-$C$27)</f>
        <v>197.45675496065405</v>
      </c>
      <c r="U539" s="168">
        <f>U538*(1+$W$535)</f>
        <v>1.7377228735003216</v>
      </c>
      <c r="V539" s="169">
        <f t="shared" ref="V539:V549" si="169">S539*$V$68</f>
        <v>10.531026931234884</v>
      </c>
      <c r="W539" s="170">
        <f t="shared" si="165"/>
        <v>343.12511962227666</v>
      </c>
      <c r="X539" s="170">
        <f t="shared" si="166"/>
        <v>353.65614655351152</v>
      </c>
    </row>
    <row r="540" spans="18:25" x14ac:dyDescent="0.15">
      <c r="R540" s="166">
        <v>3</v>
      </c>
      <c r="S540" s="1">
        <f t="shared" si="167"/>
        <v>131.63783664043603</v>
      </c>
      <c r="T540" s="167">
        <f t="shared" si="168"/>
        <v>197.45675496065405</v>
      </c>
      <c r="U540" s="168">
        <f t="shared" ref="U540:U549" si="170">U539*(1+$W$535)</f>
        <v>1.7478595902624061</v>
      </c>
      <c r="V540" s="169">
        <f t="shared" si="169"/>
        <v>10.531026931234884</v>
      </c>
      <c r="W540" s="170">
        <f t="shared" si="165"/>
        <v>345.12668282007314</v>
      </c>
      <c r="X540" s="170">
        <f t="shared" si="166"/>
        <v>355.657709751308</v>
      </c>
    </row>
    <row r="541" spans="18:25" x14ac:dyDescent="0.15">
      <c r="R541" s="166">
        <v>4</v>
      </c>
      <c r="S541" s="1">
        <f t="shared" si="167"/>
        <v>131.63783664043603</v>
      </c>
      <c r="T541" s="167">
        <f t="shared" si="168"/>
        <v>197.45675496065405</v>
      </c>
      <c r="U541" s="168">
        <f t="shared" si="170"/>
        <v>1.7580554378722695</v>
      </c>
      <c r="V541" s="169">
        <f t="shared" si="169"/>
        <v>10.531026931234884</v>
      </c>
      <c r="W541" s="170">
        <f t="shared" si="165"/>
        <v>347.13992180319008</v>
      </c>
      <c r="X541" s="170">
        <f t="shared" si="166"/>
        <v>357.67094873442494</v>
      </c>
    </row>
    <row r="542" spans="18:25" x14ac:dyDescent="0.15">
      <c r="R542" s="166">
        <v>5</v>
      </c>
      <c r="S542" s="1">
        <f t="shared" si="167"/>
        <v>131.63783664043603</v>
      </c>
      <c r="T542" s="167">
        <f t="shared" si="168"/>
        <v>197.45675496065405</v>
      </c>
      <c r="U542" s="168">
        <f t="shared" si="170"/>
        <v>1.768310761259857</v>
      </c>
      <c r="V542" s="169">
        <f t="shared" si="169"/>
        <v>10.531026931234884</v>
      </c>
      <c r="W542" s="170">
        <f t="shared" si="165"/>
        <v>349.16490468037523</v>
      </c>
      <c r="X542" s="170">
        <f t="shared" si="166"/>
        <v>359.69593161161009</v>
      </c>
    </row>
    <row r="543" spans="18:25" x14ac:dyDescent="0.15">
      <c r="R543" s="166">
        <v>6</v>
      </c>
      <c r="S543" s="1">
        <f t="shared" si="167"/>
        <v>131.63783664043603</v>
      </c>
      <c r="T543" s="167">
        <f t="shared" si="168"/>
        <v>197.45675496065405</v>
      </c>
      <c r="U543" s="168">
        <f t="shared" si="170"/>
        <v>1.7786259073672055</v>
      </c>
      <c r="V543" s="169">
        <f t="shared" si="169"/>
        <v>10.531026931234884</v>
      </c>
      <c r="W543" s="170">
        <f t="shared" si="165"/>
        <v>351.20169995767725</v>
      </c>
      <c r="X543" s="170">
        <f t="shared" si="166"/>
        <v>361.73272688891211</v>
      </c>
    </row>
    <row r="544" spans="18:25" x14ac:dyDescent="0.15">
      <c r="R544" s="166">
        <v>7</v>
      </c>
      <c r="S544" s="1">
        <f t="shared" si="167"/>
        <v>131.63783664043603</v>
      </c>
      <c r="T544" s="167">
        <f t="shared" si="168"/>
        <v>197.45675496065405</v>
      </c>
      <c r="U544" s="168">
        <f t="shared" si="170"/>
        <v>1.7890012251601801</v>
      </c>
      <c r="V544" s="169">
        <f t="shared" si="169"/>
        <v>10.531026931234884</v>
      </c>
      <c r="W544" s="170">
        <f t="shared" si="165"/>
        <v>353.25037654076357</v>
      </c>
      <c r="X544" s="170">
        <f t="shared" si="166"/>
        <v>363.78140347199843</v>
      </c>
    </row>
    <row r="545" spans="18:25" x14ac:dyDescent="0.15">
      <c r="R545" s="166">
        <v>8</v>
      </c>
      <c r="S545" s="1">
        <f t="shared" si="167"/>
        <v>131.63783664043603</v>
      </c>
      <c r="T545" s="167">
        <f t="shared" si="168"/>
        <v>197.45675496065405</v>
      </c>
      <c r="U545" s="168">
        <f t="shared" si="170"/>
        <v>1.7994370656402805</v>
      </c>
      <c r="V545" s="169">
        <f t="shared" si="169"/>
        <v>10.531026931234884</v>
      </c>
      <c r="W545" s="170">
        <f t="shared" si="165"/>
        <v>355.31100373725121</v>
      </c>
      <c r="X545" s="170">
        <f t="shared" si="166"/>
        <v>365.84203066848607</v>
      </c>
    </row>
    <row r="546" spans="18:25" x14ac:dyDescent="0.15">
      <c r="R546" s="166">
        <v>9</v>
      </c>
      <c r="S546" s="1">
        <f t="shared" si="167"/>
        <v>131.63783664043603</v>
      </c>
      <c r="T546" s="167">
        <f t="shared" si="168"/>
        <v>197.45675496065405</v>
      </c>
      <c r="U546" s="168">
        <f t="shared" si="170"/>
        <v>1.8099337818565147</v>
      </c>
      <c r="V546" s="169">
        <f t="shared" si="169"/>
        <v>10.531026931234884</v>
      </c>
      <c r="W546" s="170">
        <f t="shared" si="165"/>
        <v>357.3836512590517</v>
      </c>
      <c r="X546" s="170">
        <f t="shared" si="166"/>
        <v>367.91467819028657</v>
      </c>
    </row>
    <row r="547" spans="18:25" x14ac:dyDescent="0.15">
      <c r="R547" s="166">
        <v>10</v>
      </c>
      <c r="S547" s="1">
        <f t="shared" si="167"/>
        <v>131.63783664043603</v>
      </c>
      <c r="T547" s="167">
        <f t="shared" si="168"/>
        <v>197.45675496065405</v>
      </c>
      <c r="U547" s="168">
        <f t="shared" si="170"/>
        <v>1.8204917289173435</v>
      </c>
      <c r="V547" s="169">
        <f t="shared" si="169"/>
        <v>10.531026931234884</v>
      </c>
      <c r="W547" s="170">
        <f t="shared" si="165"/>
        <v>359.46838922472932</v>
      </c>
      <c r="X547" s="170">
        <f t="shared" si="166"/>
        <v>369.99941615596418</v>
      </c>
    </row>
    <row r="548" spans="18:25" x14ac:dyDescent="0.15">
      <c r="R548" s="166">
        <v>11</v>
      </c>
      <c r="S548" s="1">
        <f t="shared" si="167"/>
        <v>131.63783664043603</v>
      </c>
      <c r="T548" s="167">
        <f t="shared" si="168"/>
        <v>197.45675496065405</v>
      </c>
      <c r="U548" s="168">
        <f t="shared" si="170"/>
        <v>1.8311112640026939</v>
      </c>
      <c r="V548" s="169">
        <f t="shared" si="169"/>
        <v>10.531026931234884</v>
      </c>
      <c r="W548" s="170">
        <f t="shared" si="165"/>
        <v>361.56528816187341</v>
      </c>
      <c r="X548" s="170">
        <f t="shared" si="166"/>
        <v>372.09631509310827</v>
      </c>
    </row>
    <row r="549" spans="18:25" x14ac:dyDescent="0.15">
      <c r="R549" s="166">
        <v>12</v>
      </c>
      <c r="S549" s="1">
        <f t="shared" si="167"/>
        <v>131.63783664043603</v>
      </c>
      <c r="T549" s="167">
        <f t="shared" si="168"/>
        <v>197.45675496065405</v>
      </c>
      <c r="U549" s="168">
        <f t="shared" si="170"/>
        <v>1.8417927463760422</v>
      </c>
      <c r="V549" s="169">
        <f t="shared" si="169"/>
        <v>10.531026931234884</v>
      </c>
      <c r="W549" s="170">
        <f t="shared" si="165"/>
        <v>363.67441900948421</v>
      </c>
      <c r="X549" s="170">
        <f t="shared" si="166"/>
        <v>374.20544594071907</v>
      </c>
    </row>
    <row r="550" spans="18:25" ht="16" x14ac:dyDescent="0.3">
      <c r="S550" s="118">
        <f>IF($C$17&gt;=S535,SUM(S538:S549),"")</f>
        <v>1579.6540396852324</v>
      </c>
      <c r="T550" s="119">
        <f>IF($C$17&gt;=S535,SUM(T538:T549),"")</f>
        <v>2369.4810595278486</v>
      </c>
      <c r="U550" s="163">
        <f>IF(Y551="",0,AVERAGE(U538:U549))</f>
        <v>1.784165610572634</v>
      </c>
      <c r="V550" s="120">
        <f>IF($C$17&gt;=S535,SUM(V538:V549),"")</f>
        <v>126.37232317481863</v>
      </c>
      <c r="W550" s="121">
        <f>IF($C$17&gt;=S535,SUM(W538:W549),"")</f>
        <v>4227.5466213127957</v>
      </c>
      <c r="X550" s="121">
        <f>IF($C$17&gt;=S535,SUM(X538:X549),"")</f>
        <v>4353.9189444876138</v>
      </c>
    </row>
    <row r="551" spans="18:25" x14ac:dyDescent="0.15">
      <c r="W551" s="156" t="s">
        <v>53</v>
      </c>
      <c r="X551" s="117">
        <f>IF(AND($D$38="Yes",$D$40+1=S535,$C$17&gt;=S535),$B$40,0)</f>
        <v>0</v>
      </c>
      <c r="Y551" s="142">
        <f>IF(X550="","",IF($D$38="No",X550,IF($D$38="Yes",X550-X551,X550)))</f>
        <v>4353.9189444876138</v>
      </c>
    </row>
    <row r="552" spans="18:25" ht="14" thickBot="1" x14ac:dyDescent="0.2"/>
    <row r="553" spans="18:25" ht="17" thickBot="1" x14ac:dyDescent="0.25">
      <c r="R553" s="126" t="s">
        <v>48</v>
      </c>
      <c r="S553" s="127">
        <v>28</v>
      </c>
      <c r="T553" s="154" t="s">
        <v>66</v>
      </c>
      <c r="U553" s="143">
        <f>U535-($C$36*U535)</f>
        <v>328.10730782628684</v>
      </c>
      <c r="V553" s="155" t="s">
        <v>68</v>
      </c>
      <c r="W553" s="19">
        <f>ROUND($C$25/12,15)</f>
        <v>5.8333333333329997E-3</v>
      </c>
      <c r="X553" s="161">
        <f>IF(X568="",0,(U553*12-(U553*12)*$C$36)/POWER(1+0,S553))</f>
        <v>3925.4758308336959</v>
      </c>
    </row>
    <row r="554" spans="18:25" x14ac:dyDescent="0.15">
      <c r="U554" s="182" t="s">
        <v>76</v>
      </c>
      <c r="V554" s="166">
        <f>IF(S553&lt;=$C$31,$C$29,IF(AND(S553&gt;$C$31,$B$34="Yes"),AVERAGE(U556:U567),$D$34))</f>
        <v>0.08</v>
      </c>
    </row>
    <row r="555" spans="18:25" x14ac:dyDescent="0.15">
      <c r="R555" s="122" t="s">
        <v>70</v>
      </c>
      <c r="S555" s="124">
        <f>$C$24</f>
        <v>0</v>
      </c>
      <c r="T555" s="125">
        <f>100%-$S$87</f>
        <v>1</v>
      </c>
      <c r="U555" s="112" t="s">
        <v>72</v>
      </c>
      <c r="V555" s="115" t="s">
        <v>71</v>
      </c>
      <c r="W555" s="115" t="s">
        <v>67</v>
      </c>
      <c r="X555" s="116" t="s">
        <v>69</v>
      </c>
    </row>
    <row r="556" spans="18:25" x14ac:dyDescent="0.15">
      <c r="R556" s="166">
        <v>1</v>
      </c>
      <c r="S556" s="1">
        <f>$U$553*$C$27</f>
        <v>131.24292313051475</v>
      </c>
      <c r="T556" s="167">
        <f>$U$553*(100%-$C$27)</f>
        <v>196.86438469577209</v>
      </c>
      <c r="U556" s="168">
        <f>U549*(1+$W$553)</f>
        <v>1.8525365373965683</v>
      </c>
      <c r="V556" s="169">
        <f>S556*$V$68</f>
        <v>10.49943385044118</v>
      </c>
      <c r="W556" s="170">
        <f t="shared" ref="W556:W567" si="171">T556*U556</f>
        <v>364.69846556101157</v>
      </c>
      <c r="X556" s="170">
        <f t="shared" ref="X556:X567" si="172">W556+V556</f>
        <v>375.19789941145274</v>
      </c>
    </row>
    <row r="557" spans="18:25" x14ac:dyDescent="0.15">
      <c r="R557" s="166">
        <v>2</v>
      </c>
      <c r="S557" s="1">
        <f t="shared" ref="S557:S567" si="173">$U$553*$C$27</f>
        <v>131.24292313051475</v>
      </c>
      <c r="T557" s="167">
        <f t="shared" ref="T557:T567" si="174">$U$553*(100%-$C$27)</f>
        <v>196.86438469577209</v>
      </c>
      <c r="U557" s="168">
        <f>U556*(1+$W$553)</f>
        <v>1.8633430005313809</v>
      </c>
      <c r="V557" s="169">
        <f t="shared" ref="V557:V567" si="175">S557*$V$68</f>
        <v>10.49943385044118</v>
      </c>
      <c r="W557" s="170">
        <f t="shared" si="171"/>
        <v>366.82587327678402</v>
      </c>
      <c r="X557" s="170">
        <f t="shared" si="172"/>
        <v>377.32530712722519</v>
      </c>
    </row>
    <row r="558" spans="18:25" x14ac:dyDescent="0.15">
      <c r="R558" s="166">
        <v>3</v>
      </c>
      <c r="S558" s="1">
        <f t="shared" si="173"/>
        <v>131.24292313051475</v>
      </c>
      <c r="T558" s="167">
        <f t="shared" si="174"/>
        <v>196.86438469577209</v>
      </c>
      <c r="U558" s="168">
        <f t="shared" ref="U558:U567" si="176">U557*(1+$W$553)</f>
        <v>1.8742125013678133</v>
      </c>
      <c r="V558" s="169">
        <f t="shared" si="175"/>
        <v>10.49943385044118</v>
      </c>
      <c r="W558" s="170">
        <f t="shared" si="171"/>
        <v>368.96569087089847</v>
      </c>
      <c r="X558" s="170">
        <f t="shared" si="172"/>
        <v>379.46512472133963</v>
      </c>
    </row>
    <row r="559" spans="18:25" x14ac:dyDescent="0.15">
      <c r="R559" s="166">
        <v>4</v>
      </c>
      <c r="S559" s="1">
        <f t="shared" si="173"/>
        <v>131.24292313051475</v>
      </c>
      <c r="T559" s="167">
        <f t="shared" si="174"/>
        <v>196.86438469577209</v>
      </c>
      <c r="U559" s="168">
        <f t="shared" si="176"/>
        <v>1.8851454076257914</v>
      </c>
      <c r="V559" s="169">
        <f t="shared" si="175"/>
        <v>10.49943385044118</v>
      </c>
      <c r="W559" s="170">
        <f t="shared" si="171"/>
        <v>371.11799073431189</v>
      </c>
      <c r="X559" s="170">
        <f t="shared" si="172"/>
        <v>381.61742458475305</v>
      </c>
    </row>
    <row r="560" spans="18:25" x14ac:dyDescent="0.15">
      <c r="R560" s="166">
        <v>5</v>
      </c>
      <c r="S560" s="1">
        <f t="shared" si="173"/>
        <v>131.24292313051475</v>
      </c>
      <c r="T560" s="167">
        <f t="shared" si="174"/>
        <v>196.86438469577209</v>
      </c>
      <c r="U560" s="168">
        <f t="shared" si="176"/>
        <v>1.8961420891702745</v>
      </c>
      <c r="V560" s="169">
        <f t="shared" si="175"/>
        <v>10.49943385044118</v>
      </c>
      <c r="W560" s="170">
        <f t="shared" si="171"/>
        <v>373.28284568026191</v>
      </c>
      <c r="X560" s="170">
        <f t="shared" si="172"/>
        <v>383.78227953070308</v>
      </c>
    </row>
    <row r="561" spans="18:25" x14ac:dyDescent="0.15">
      <c r="R561" s="166">
        <v>6</v>
      </c>
      <c r="S561" s="1">
        <f t="shared" si="173"/>
        <v>131.24292313051475</v>
      </c>
      <c r="T561" s="167">
        <f t="shared" si="174"/>
        <v>196.86438469577209</v>
      </c>
      <c r="U561" s="168">
        <f t="shared" si="176"/>
        <v>1.9072029180237671</v>
      </c>
      <c r="V561" s="169">
        <f t="shared" si="175"/>
        <v>10.49943385044118</v>
      </c>
      <c r="W561" s="170">
        <f t="shared" si="171"/>
        <v>375.46032894672993</v>
      </c>
      <c r="X561" s="170">
        <f t="shared" si="172"/>
        <v>385.95976279717109</v>
      </c>
    </row>
    <row r="562" spans="18:25" x14ac:dyDescent="0.15">
      <c r="R562" s="166">
        <v>7</v>
      </c>
      <c r="S562" s="1">
        <f t="shared" si="173"/>
        <v>131.24292313051475</v>
      </c>
      <c r="T562" s="167">
        <f t="shared" si="174"/>
        <v>196.86438469577209</v>
      </c>
      <c r="U562" s="168">
        <f t="shared" si="176"/>
        <v>1.9183282683789049</v>
      </c>
      <c r="V562" s="169">
        <f t="shared" si="175"/>
        <v>10.49943385044118</v>
      </c>
      <c r="W562" s="170">
        <f t="shared" si="171"/>
        <v>377.65051419891904</v>
      </c>
      <c r="X562" s="170">
        <f t="shared" si="172"/>
        <v>388.14994804936021</v>
      </c>
    </row>
    <row r="563" spans="18:25" x14ac:dyDescent="0.15">
      <c r="R563" s="166">
        <v>8</v>
      </c>
      <c r="S563" s="1">
        <f t="shared" si="173"/>
        <v>131.24292313051475</v>
      </c>
      <c r="T563" s="167">
        <f t="shared" si="174"/>
        <v>196.86438469577209</v>
      </c>
      <c r="U563" s="168">
        <f t="shared" si="176"/>
        <v>1.9295185166111144</v>
      </c>
      <c r="V563" s="169">
        <f t="shared" si="175"/>
        <v>10.49943385044118</v>
      </c>
      <c r="W563" s="170">
        <f t="shared" si="171"/>
        <v>379.85347553174591</v>
      </c>
      <c r="X563" s="170">
        <f t="shared" si="172"/>
        <v>390.35290938218708</v>
      </c>
    </row>
    <row r="564" spans="18:25" x14ac:dyDescent="0.15">
      <c r="R564" s="166">
        <v>9</v>
      </c>
      <c r="S564" s="1">
        <f t="shared" si="173"/>
        <v>131.24292313051475</v>
      </c>
      <c r="T564" s="167">
        <f t="shared" si="174"/>
        <v>196.86438469577209</v>
      </c>
      <c r="U564" s="168">
        <f t="shared" si="176"/>
        <v>1.940774041291345</v>
      </c>
      <c r="V564" s="169">
        <f t="shared" si="175"/>
        <v>10.49943385044118</v>
      </c>
      <c r="W564" s="170">
        <f t="shared" si="171"/>
        <v>382.06928747234758</v>
      </c>
      <c r="X564" s="170">
        <f t="shared" si="172"/>
        <v>392.56872132278875</v>
      </c>
    </row>
    <row r="565" spans="18:25" x14ac:dyDescent="0.15">
      <c r="R565" s="166">
        <v>10</v>
      </c>
      <c r="S565" s="1">
        <f t="shared" si="173"/>
        <v>131.24292313051475</v>
      </c>
      <c r="T565" s="167">
        <f t="shared" si="174"/>
        <v>196.86438469577209</v>
      </c>
      <c r="U565" s="168">
        <f t="shared" si="176"/>
        <v>1.9520952231988771</v>
      </c>
      <c r="V565" s="169">
        <f t="shared" si="175"/>
        <v>10.49943385044118</v>
      </c>
      <c r="W565" s="170">
        <f t="shared" si="171"/>
        <v>384.29802498260284</v>
      </c>
      <c r="X565" s="170">
        <f t="shared" si="172"/>
        <v>394.797458833044</v>
      </c>
    </row>
    <row r="566" spans="18:25" x14ac:dyDescent="0.15">
      <c r="R566" s="166">
        <v>11</v>
      </c>
      <c r="S566" s="1">
        <f t="shared" si="173"/>
        <v>131.24292313051475</v>
      </c>
      <c r="T566" s="167">
        <f t="shared" si="174"/>
        <v>196.86438469577209</v>
      </c>
      <c r="U566" s="168">
        <f t="shared" si="176"/>
        <v>1.963482445334203</v>
      </c>
      <c r="V566" s="169">
        <f t="shared" si="175"/>
        <v>10.49943385044118</v>
      </c>
      <c r="W566" s="170">
        <f t="shared" si="171"/>
        <v>386.53976346166786</v>
      </c>
      <c r="X566" s="170">
        <f t="shared" si="172"/>
        <v>397.03919731210902</v>
      </c>
    </row>
    <row r="567" spans="18:25" x14ac:dyDescent="0.15">
      <c r="R567" s="166">
        <v>12</v>
      </c>
      <c r="S567" s="1">
        <f t="shared" si="173"/>
        <v>131.24292313051475</v>
      </c>
      <c r="T567" s="167">
        <f t="shared" si="174"/>
        <v>196.86438469577209</v>
      </c>
      <c r="U567" s="168">
        <f t="shared" si="176"/>
        <v>1.974936092931985</v>
      </c>
      <c r="V567" s="169">
        <f t="shared" si="175"/>
        <v>10.49943385044118</v>
      </c>
      <c r="W567" s="170">
        <f t="shared" si="171"/>
        <v>388.79457874852739</v>
      </c>
      <c r="X567" s="170">
        <f t="shared" si="172"/>
        <v>399.29401259896855</v>
      </c>
    </row>
    <row r="568" spans="18:25" ht="16" x14ac:dyDescent="0.3">
      <c r="S568" s="118">
        <f>IF($C$17&gt;=S553,SUM(S556:S567),"")</f>
        <v>1574.9150775661772</v>
      </c>
      <c r="T568" s="119">
        <f>IF($C$17&gt;=S553,SUM(T556:T567),"")</f>
        <v>2362.3726163492652</v>
      </c>
      <c r="U568" s="163">
        <f>IF(Y569="",0,AVERAGE(U556:U567))</f>
        <v>1.9131430868218355</v>
      </c>
      <c r="V568" s="120">
        <f>IF($C$17&gt;=S553,SUM(V556:V567),"")</f>
        <v>125.99320620529416</v>
      </c>
      <c r="W568" s="121">
        <f>IF($C$17&gt;=S553,SUM(W556:W567),"")</f>
        <v>4519.5568394658085</v>
      </c>
      <c r="X568" s="121">
        <f>IF($C$17&gt;=S553,SUM(X556:X567),"")</f>
        <v>4645.5500456711025</v>
      </c>
    </row>
    <row r="569" spans="18:25" x14ac:dyDescent="0.15">
      <c r="W569" s="156" t="s">
        <v>53</v>
      </c>
      <c r="X569" s="117">
        <f>IF(AND($D$38="Yes",$D$40+1=S553,$C$17&gt;=S553),$B$40,0)</f>
        <v>0</v>
      </c>
      <c r="Y569" s="142">
        <f>IF(X568="","",IF($D$38="No",X568,IF($D$38="Yes",X568-X569,X568)))</f>
        <v>4645.5500456711025</v>
      </c>
    </row>
    <row r="570" spans="18:25" ht="14" thickBot="1" x14ac:dyDescent="0.2"/>
    <row r="571" spans="18:25" ht="17" thickBot="1" x14ac:dyDescent="0.25">
      <c r="R571" s="126" t="s">
        <v>48</v>
      </c>
      <c r="S571" s="127">
        <v>29</v>
      </c>
      <c r="T571" s="154" t="s">
        <v>66</v>
      </c>
      <c r="U571" s="143">
        <f>U553-($C$36*U553)</f>
        <v>327.12298590280795</v>
      </c>
      <c r="V571" s="155" t="s">
        <v>68</v>
      </c>
      <c r="W571" s="19">
        <f>ROUND($C$25/12,15)</f>
        <v>5.8333333333329997E-3</v>
      </c>
      <c r="X571" s="161">
        <f>IF(X586="",0,(U571*12-(U571*12)*$C$36)/POWER(1+0,S571))</f>
        <v>3913.6994033411943</v>
      </c>
    </row>
    <row r="572" spans="18:25" x14ac:dyDescent="0.15">
      <c r="U572" s="182" t="s">
        <v>76</v>
      </c>
      <c r="V572" s="166">
        <f>IF(S571&lt;=$C$31,$C$29,IF(AND(S571&gt;$C$31,$B$34="Yes"),AVERAGE(U574:U585),$D$34))</f>
        <v>0.08</v>
      </c>
    </row>
    <row r="573" spans="18:25" x14ac:dyDescent="0.15">
      <c r="R573" s="122" t="s">
        <v>70</v>
      </c>
      <c r="S573" s="124">
        <f>$C$24</f>
        <v>0</v>
      </c>
      <c r="T573" s="125">
        <f>100%-$S$87</f>
        <v>1</v>
      </c>
      <c r="U573" t="s">
        <v>72</v>
      </c>
      <c r="V573" s="114" t="s">
        <v>71</v>
      </c>
      <c r="W573" s="114" t="s">
        <v>67</v>
      </c>
      <c r="X573" s="123" t="s">
        <v>69</v>
      </c>
    </row>
    <row r="574" spans="18:25" x14ac:dyDescent="0.15">
      <c r="R574" s="166">
        <v>1</v>
      </c>
      <c r="S574" s="1">
        <f>$U$571*$C$27</f>
        <v>130.84919436112318</v>
      </c>
      <c r="T574" s="167">
        <f>$U$571*(100%-$C$27)</f>
        <v>196.27379154168477</v>
      </c>
      <c r="U574" s="168">
        <f>U567*(1+$W$571)</f>
        <v>1.9864565534740874</v>
      </c>
      <c r="V574" s="169">
        <f>S574*$V$68</f>
        <v>10.467935548889855</v>
      </c>
      <c r="W574" s="170">
        <f t="shared" ref="W574:W585" si="177">T574*U574</f>
        <v>389.88935948318664</v>
      </c>
      <c r="X574" s="170">
        <f t="shared" ref="X574:X585" si="178">W574+V574</f>
        <v>400.35729503207648</v>
      </c>
    </row>
    <row r="575" spans="18:25" x14ac:dyDescent="0.15">
      <c r="R575" s="166">
        <v>2</v>
      </c>
      <c r="S575" s="1">
        <f t="shared" ref="S575:S585" si="179">$U$571*$C$27</f>
        <v>130.84919436112318</v>
      </c>
      <c r="T575" s="167">
        <f t="shared" ref="T575:T585" si="180">$U$571*(100%-$C$27)</f>
        <v>196.27379154168477</v>
      </c>
      <c r="U575" s="168">
        <f>U574*(1+$W$571)</f>
        <v>1.9980442167026855</v>
      </c>
      <c r="V575" s="169">
        <f t="shared" ref="V575:V585" si="181">S575*$V$68</f>
        <v>10.467935548889855</v>
      </c>
      <c r="W575" s="170">
        <f t="shared" si="177"/>
        <v>392.16371408017176</v>
      </c>
      <c r="X575" s="170">
        <f t="shared" si="178"/>
        <v>402.6316496290616</v>
      </c>
    </row>
    <row r="576" spans="18:25" x14ac:dyDescent="0.15">
      <c r="R576" s="166">
        <v>3</v>
      </c>
      <c r="S576" s="1">
        <f t="shared" si="179"/>
        <v>130.84919436112318</v>
      </c>
      <c r="T576" s="167">
        <f t="shared" si="180"/>
        <v>196.27379154168477</v>
      </c>
      <c r="U576" s="168">
        <f t="shared" ref="U576:U585" si="182">U575*(1+$W$571)</f>
        <v>2.0096994746334502</v>
      </c>
      <c r="V576" s="169">
        <f t="shared" si="181"/>
        <v>10.467935548889855</v>
      </c>
      <c r="W576" s="170">
        <f t="shared" si="177"/>
        <v>394.4513357456392</v>
      </c>
      <c r="X576" s="170">
        <f t="shared" si="178"/>
        <v>404.91927129452904</v>
      </c>
    </row>
    <row r="577" spans="18:25" x14ac:dyDescent="0.15">
      <c r="R577" s="166">
        <v>4</v>
      </c>
      <c r="S577" s="1">
        <f t="shared" si="179"/>
        <v>130.84919436112318</v>
      </c>
      <c r="T577" s="167">
        <f t="shared" si="180"/>
        <v>196.27379154168477</v>
      </c>
      <c r="U577" s="168">
        <f t="shared" si="182"/>
        <v>2.0214227215688112</v>
      </c>
      <c r="V577" s="169">
        <f t="shared" si="181"/>
        <v>10.467935548889855</v>
      </c>
      <c r="W577" s="170">
        <f t="shared" si="177"/>
        <v>396.75230187082195</v>
      </c>
      <c r="X577" s="170">
        <f t="shared" si="178"/>
        <v>407.22023741971179</v>
      </c>
    </row>
    <row r="578" spans="18:25" x14ac:dyDescent="0.15">
      <c r="R578" s="166">
        <v>5</v>
      </c>
      <c r="S578" s="1">
        <f t="shared" si="179"/>
        <v>130.84919436112318</v>
      </c>
      <c r="T578" s="167">
        <f t="shared" si="180"/>
        <v>196.27379154168477</v>
      </c>
      <c r="U578" s="168">
        <f t="shared" si="182"/>
        <v>2.033214354111295</v>
      </c>
      <c r="V578" s="169">
        <f t="shared" si="181"/>
        <v>10.467935548889855</v>
      </c>
      <c r="W578" s="170">
        <f t="shared" si="177"/>
        <v>399.06669029840157</v>
      </c>
      <c r="X578" s="170">
        <f t="shared" si="178"/>
        <v>409.53462584729141</v>
      </c>
    </row>
    <row r="579" spans="18:25" x14ac:dyDescent="0.15">
      <c r="R579" s="166">
        <v>6</v>
      </c>
      <c r="S579" s="1">
        <f t="shared" si="179"/>
        <v>130.84919436112318</v>
      </c>
      <c r="T579" s="167">
        <f t="shared" si="180"/>
        <v>196.27379154168477</v>
      </c>
      <c r="U579" s="168">
        <f t="shared" si="182"/>
        <v>2.0450747711769433</v>
      </c>
      <c r="V579" s="169">
        <f t="shared" si="181"/>
        <v>10.467935548889855</v>
      </c>
      <c r="W579" s="170">
        <f t="shared" si="177"/>
        <v>401.39457932514205</v>
      </c>
      <c r="X579" s="170">
        <f t="shared" si="178"/>
        <v>411.86251487403189</v>
      </c>
    </row>
    <row r="580" spans="18:25" x14ac:dyDescent="0.15">
      <c r="R580" s="166">
        <v>7</v>
      </c>
      <c r="S580" s="1">
        <f t="shared" si="179"/>
        <v>130.84919436112318</v>
      </c>
      <c r="T580" s="167">
        <f t="shared" si="180"/>
        <v>196.27379154168477</v>
      </c>
      <c r="U580" s="168">
        <f t="shared" si="182"/>
        <v>2.057004374008808</v>
      </c>
      <c r="V580" s="169">
        <f t="shared" si="181"/>
        <v>10.467935548889855</v>
      </c>
      <c r="W580" s="170">
        <f t="shared" si="177"/>
        <v>403.73604770453858</v>
      </c>
      <c r="X580" s="170">
        <f t="shared" si="178"/>
        <v>414.20398325342842</v>
      </c>
    </row>
    <row r="581" spans="18:25" x14ac:dyDescent="0.15">
      <c r="R581" s="166">
        <v>8</v>
      </c>
      <c r="S581" s="1">
        <f t="shared" si="179"/>
        <v>130.84919436112318</v>
      </c>
      <c r="T581" s="167">
        <f t="shared" si="180"/>
        <v>196.27379154168477</v>
      </c>
      <c r="U581" s="168">
        <f t="shared" si="182"/>
        <v>2.0690035661905251</v>
      </c>
      <c r="V581" s="169">
        <f t="shared" si="181"/>
        <v>10.467935548889855</v>
      </c>
      <c r="W581" s="170">
        <f t="shared" si="177"/>
        <v>406.0911746494815</v>
      </c>
      <c r="X581" s="170">
        <f t="shared" si="178"/>
        <v>416.55911019837134</v>
      </c>
    </row>
    <row r="582" spans="18:25" x14ac:dyDescent="0.15">
      <c r="R582" s="166">
        <v>9</v>
      </c>
      <c r="S582" s="1">
        <f t="shared" si="179"/>
        <v>130.84919436112318</v>
      </c>
      <c r="T582" s="167">
        <f t="shared" si="180"/>
        <v>196.27379154168477</v>
      </c>
      <c r="U582" s="168">
        <f t="shared" si="182"/>
        <v>2.0810727536599689</v>
      </c>
      <c r="V582" s="169">
        <f t="shared" si="181"/>
        <v>10.467935548889855</v>
      </c>
      <c r="W582" s="170">
        <f t="shared" si="177"/>
        <v>408.46003983493665</v>
      </c>
      <c r="X582" s="170">
        <f t="shared" si="178"/>
        <v>418.92797538382649</v>
      </c>
    </row>
    <row r="583" spans="18:25" x14ac:dyDescent="0.15">
      <c r="R583" s="166">
        <v>10</v>
      </c>
      <c r="S583" s="1">
        <f t="shared" si="179"/>
        <v>130.84919436112318</v>
      </c>
      <c r="T583" s="167">
        <f t="shared" si="180"/>
        <v>196.27379154168477</v>
      </c>
      <c r="U583" s="168">
        <f t="shared" si="182"/>
        <v>2.0932123447229847</v>
      </c>
      <c r="V583" s="169">
        <f t="shared" si="181"/>
        <v>10.467935548889855</v>
      </c>
      <c r="W583" s="170">
        <f t="shared" si="177"/>
        <v>410.8427234006403</v>
      </c>
      <c r="X583" s="170">
        <f t="shared" si="178"/>
        <v>421.31065894953014</v>
      </c>
    </row>
    <row r="584" spans="18:25" x14ac:dyDescent="0.15">
      <c r="R584" s="166">
        <v>11</v>
      </c>
      <c r="S584" s="1">
        <f t="shared" si="179"/>
        <v>130.84919436112318</v>
      </c>
      <c r="T584" s="167">
        <f t="shared" si="180"/>
        <v>196.27379154168477</v>
      </c>
      <c r="U584" s="168">
        <f t="shared" si="182"/>
        <v>2.1054227500672011</v>
      </c>
      <c r="V584" s="169">
        <f t="shared" si="181"/>
        <v>10.467935548889855</v>
      </c>
      <c r="W584" s="170">
        <f t="shared" si="177"/>
        <v>413.23930595381051</v>
      </c>
      <c r="X584" s="170">
        <f t="shared" si="178"/>
        <v>423.70724150270036</v>
      </c>
    </row>
    <row r="585" spans="18:25" x14ac:dyDescent="0.15">
      <c r="R585" s="166">
        <v>12</v>
      </c>
      <c r="S585" s="1">
        <f t="shared" si="179"/>
        <v>130.84919436112318</v>
      </c>
      <c r="T585" s="167">
        <f t="shared" si="180"/>
        <v>196.27379154168477</v>
      </c>
      <c r="U585" s="168">
        <f t="shared" si="182"/>
        <v>2.1177043827759254</v>
      </c>
      <c r="V585" s="169">
        <f t="shared" si="181"/>
        <v>10.467935548889855</v>
      </c>
      <c r="W585" s="170">
        <f t="shared" si="177"/>
        <v>415.64986857187421</v>
      </c>
      <c r="X585" s="170">
        <f t="shared" si="178"/>
        <v>426.11780412076405</v>
      </c>
    </row>
    <row r="586" spans="18:25" ht="16" x14ac:dyDescent="0.3">
      <c r="S586" s="118">
        <f>IF($C$17&gt;=S571,SUM(S574:S585),"")</f>
        <v>1570.1903323334782</v>
      </c>
      <c r="T586" s="119">
        <f>IF($C$17&gt;=S571,SUM(T574:T585),"")</f>
        <v>2355.2854985002168</v>
      </c>
      <c r="U586" s="163">
        <f>IF(Y587="",0,AVERAGE(U574:U585))</f>
        <v>2.0514443552577242</v>
      </c>
      <c r="V586" s="120">
        <f>IF($C$17&gt;=S571,SUM(V574:V585),"")</f>
        <v>125.61522658667826</v>
      </c>
      <c r="W586" s="121">
        <f>IF($C$17&gt;=S571,SUM(W574:W585),"")</f>
        <v>4831.7371409186453</v>
      </c>
      <c r="X586" s="121">
        <f>IF($C$17&gt;=S571,SUM(X574:X585),"")</f>
        <v>4957.3523675053229</v>
      </c>
    </row>
    <row r="587" spans="18:25" x14ac:dyDescent="0.15">
      <c r="W587" s="156" t="s">
        <v>53</v>
      </c>
      <c r="X587" s="117">
        <f>IF(AND($D$38="Yes",$D$40+1=S571,$C$17&gt;=S571),$B$40,0)</f>
        <v>0</v>
      </c>
      <c r="Y587" s="142">
        <f>IF(X586="","",IF($D$38="No",X586,IF($D$38="Yes",X586-X587,X586)))</f>
        <v>4957.3523675053229</v>
      </c>
    </row>
    <row r="588" spans="18:25" ht="14" thickBot="1" x14ac:dyDescent="0.2"/>
    <row r="589" spans="18:25" ht="17" thickBot="1" x14ac:dyDescent="0.25">
      <c r="R589" s="126" t="s">
        <v>48</v>
      </c>
      <c r="S589" s="127">
        <v>30</v>
      </c>
      <c r="T589" s="154" t="s">
        <v>66</v>
      </c>
      <c r="U589" s="143">
        <f>U571-($C$36*U571)</f>
        <v>326.14161694509954</v>
      </c>
      <c r="V589" s="155" t="s">
        <v>68</v>
      </c>
      <c r="W589" s="19">
        <f>ROUND($C$25/12,15)</f>
        <v>5.8333333333329997E-3</v>
      </c>
      <c r="X589" s="161">
        <f>IF(X604="",0,(U589*12-(U589*12)*$C$36)/POWER(1+0,S589))</f>
        <v>3901.9583051311711</v>
      </c>
    </row>
    <row r="590" spans="18:25" x14ac:dyDescent="0.15">
      <c r="U590" s="182" t="s">
        <v>76</v>
      </c>
      <c r="V590" s="166">
        <f>IF(S589&lt;=$C$31,$C$29,IF(AND(S589&gt;$C$31,$B$34="Yes"),AVERAGE(U592:U603),$D$34))</f>
        <v>0.08</v>
      </c>
    </row>
    <row r="591" spans="18:25" x14ac:dyDescent="0.15">
      <c r="R591" s="122" t="s">
        <v>70</v>
      </c>
      <c r="S591" s="124">
        <f>$C$24</f>
        <v>0</v>
      </c>
      <c r="T591" s="125">
        <f>100%-$S$87</f>
        <v>1</v>
      </c>
      <c r="U591" t="s">
        <v>72</v>
      </c>
      <c r="V591" s="114" t="s">
        <v>71</v>
      </c>
      <c r="W591" s="114" t="s">
        <v>67</v>
      </c>
      <c r="X591" s="123" t="s">
        <v>69</v>
      </c>
    </row>
    <row r="592" spans="18:25" x14ac:dyDescent="0.15">
      <c r="R592" s="166">
        <v>1</v>
      </c>
      <c r="S592" s="1">
        <f>$U$589*$C$27</f>
        <v>130.45664677803981</v>
      </c>
      <c r="T592" s="167">
        <f>$U$589*(100%-$C$27)</f>
        <v>195.68497016705973</v>
      </c>
      <c r="U592" s="168">
        <f>U585*(1+$W$589)</f>
        <v>2.1300576583421176</v>
      </c>
      <c r="V592" s="169">
        <f>S592*$V$68</f>
        <v>10.436531742243185</v>
      </c>
      <c r="W592" s="170">
        <f t="shared" ref="W592:W603" si="183">T592*U592</f>
        <v>416.8202693267944</v>
      </c>
      <c r="X592" s="170">
        <f t="shared" ref="X592:X603" si="184">W592+V592</f>
        <v>427.25680106903758</v>
      </c>
    </row>
    <row r="593" spans="18:26" x14ac:dyDescent="0.15">
      <c r="R593" s="166">
        <v>2</v>
      </c>
      <c r="S593" s="1">
        <f t="shared" ref="S593:S603" si="185">$U$589*$C$27</f>
        <v>130.45664677803981</v>
      </c>
      <c r="T593" s="167">
        <f t="shared" ref="T593:T603" si="186">$U$589*(100%-$C$27)</f>
        <v>195.68497016705973</v>
      </c>
      <c r="U593" s="168">
        <f>U592*(1+$W$589)</f>
        <v>2.1424829946824455</v>
      </c>
      <c r="V593" s="169">
        <f t="shared" ref="V593:V603" si="187">S593*$V$68</f>
        <v>10.436531742243185</v>
      </c>
      <c r="W593" s="170">
        <f t="shared" si="183"/>
        <v>419.25172089786713</v>
      </c>
      <c r="X593" s="170">
        <f t="shared" si="184"/>
        <v>429.68825264011031</v>
      </c>
    </row>
    <row r="594" spans="18:26" x14ac:dyDescent="0.15">
      <c r="R594" s="166">
        <v>3</v>
      </c>
      <c r="S594" s="1">
        <f t="shared" si="185"/>
        <v>130.45664677803981</v>
      </c>
      <c r="T594" s="167">
        <f t="shared" si="186"/>
        <v>195.68497016705973</v>
      </c>
      <c r="U594" s="168">
        <f t="shared" ref="U594:U603" si="188">U593*(1+$W$589)</f>
        <v>2.1549808121514253</v>
      </c>
      <c r="V594" s="169">
        <f t="shared" si="187"/>
        <v>10.436531742243185</v>
      </c>
      <c r="W594" s="170">
        <f t="shared" si="183"/>
        <v>421.69735593643782</v>
      </c>
      <c r="X594" s="170">
        <f t="shared" si="184"/>
        <v>432.13388767868099</v>
      </c>
    </row>
    <row r="595" spans="18:26" x14ac:dyDescent="0.15">
      <c r="R595" s="166">
        <v>4</v>
      </c>
      <c r="S595" s="1">
        <f t="shared" si="185"/>
        <v>130.45664677803981</v>
      </c>
      <c r="T595" s="167">
        <f t="shared" si="186"/>
        <v>195.68497016705973</v>
      </c>
      <c r="U595" s="168">
        <f t="shared" si="188"/>
        <v>2.167551533555641</v>
      </c>
      <c r="V595" s="169">
        <f t="shared" si="187"/>
        <v>10.436531742243185</v>
      </c>
      <c r="W595" s="170">
        <f t="shared" si="183"/>
        <v>424.15725717940018</v>
      </c>
      <c r="X595" s="170">
        <f t="shared" si="184"/>
        <v>434.59378892164335</v>
      </c>
    </row>
    <row r="596" spans="18:26" x14ac:dyDescent="0.15">
      <c r="R596" s="166">
        <v>5</v>
      </c>
      <c r="S596" s="1">
        <f t="shared" si="185"/>
        <v>130.45664677803981</v>
      </c>
      <c r="T596" s="167">
        <f t="shared" si="186"/>
        <v>195.68497016705973</v>
      </c>
      <c r="U596" s="168">
        <f t="shared" si="188"/>
        <v>2.180195584168048</v>
      </c>
      <c r="V596" s="169">
        <f t="shared" si="187"/>
        <v>10.436531742243185</v>
      </c>
      <c r="W596" s="170">
        <f t="shared" si="183"/>
        <v>426.63150784627982</v>
      </c>
      <c r="X596" s="170">
        <f t="shared" si="184"/>
        <v>437.06803958852299</v>
      </c>
    </row>
    <row r="597" spans="18:26" x14ac:dyDescent="0.15">
      <c r="R597" s="166">
        <v>6</v>
      </c>
      <c r="S597" s="1">
        <f t="shared" si="185"/>
        <v>130.45664677803981</v>
      </c>
      <c r="T597" s="167">
        <f t="shared" si="186"/>
        <v>195.68497016705973</v>
      </c>
      <c r="U597" s="168">
        <f t="shared" si="188"/>
        <v>2.1929133917423607</v>
      </c>
      <c r="V597" s="169">
        <f t="shared" si="187"/>
        <v>10.436531742243185</v>
      </c>
      <c r="W597" s="170">
        <f t="shared" si="183"/>
        <v>429.12019164204963</v>
      </c>
      <c r="X597" s="170">
        <f t="shared" si="184"/>
        <v>439.55672338429281</v>
      </c>
    </row>
    <row r="598" spans="18:26" x14ac:dyDescent="0.15">
      <c r="R598" s="166">
        <v>7</v>
      </c>
      <c r="S598" s="1">
        <f t="shared" si="185"/>
        <v>130.45664677803981</v>
      </c>
      <c r="T598" s="167">
        <f t="shared" si="186"/>
        <v>195.68497016705973</v>
      </c>
      <c r="U598" s="168">
        <f t="shared" si="188"/>
        <v>2.2057053865275233</v>
      </c>
      <c r="V598" s="169">
        <f t="shared" si="187"/>
        <v>10.436531742243185</v>
      </c>
      <c r="W598" s="170">
        <f t="shared" si="183"/>
        <v>431.62339275996135</v>
      </c>
      <c r="X598" s="170">
        <f t="shared" si="184"/>
        <v>442.05992450220452</v>
      </c>
    </row>
    <row r="599" spans="18:26" x14ac:dyDescent="0.15">
      <c r="R599" s="166">
        <v>8</v>
      </c>
      <c r="S599" s="1">
        <f t="shared" si="185"/>
        <v>130.45664677803981</v>
      </c>
      <c r="T599" s="167">
        <f t="shared" si="186"/>
        <v>195.68497016705973</v>
      </c>
      <c r="U599" s="168">
        <f t="shared" si="188"/>
        <v>2.2185720012822663</v>
      </c>
      <c r="V599" s="169">
        <f t="shared" si="187"/>
        <v>10.436531742243185</v>
      </c>
      <c r="W599" s="170">
        <f t="shared" si="183"/>
        <v>434.14119588439428</v>
      </c>
      <c r="X599" s="170">
        <f t="shared" si="184"/>
        <v>444.57772762663745</v>
      </c>
    </row>
    <row r="600" spans="18:26" x14ac:dyDescent="0.15">
      <c r="R600" s="166">
        <v>9</v>
      </c>
      <c r="S600" s="1">
        <f t="shared" si="185"/>
        <v>130.45664677803981</v>
      </c>
      <c r="T600" s="167">
        <f t="shared" si="186"/>
        <v>195.68497016705973</v>
      </c>
      <c r="U600" s="168">
        <f t="shared" si="188"/>
        <v>2.2315136712897452</v>
      </c>
      <c r="V600" s="169">
        <f t="shared" si="187"/>
        <v>10.436531742243185</v>
      </c>
      <c r="W600" s="170">
        <f t="shared" si="183"/>
        <v>436.67368619371973</v>
      </c>
      <c r="X600" s="170">
        <f t="shared" si="184"/>
        <v>447.11021793596291</v>
      </c>
    </row>
    <row r="601" spans="18:26" x14ac:dyDescent="0.15">
      <c r="R601" s="166">
        <v>10</v>
      </c>
      <c r="S601" s="1">
        <f t="shared" si="185"/>
        <v>130.45664677803981</v>
      </c>
      <c r="T601" s="167">
        <f t="shared" si="186"/>
        <v>195.68497016705973</v>
      </c>
      <c r="U601" s="168">
        <f t="shared" si="188"/>
        <v>2.2445308343722679</v>
      </c>
      <c r="V601" s="169">
        <f t="shared" si="187"/>
        <v>10.436531742243185</v>
      </c>
      <c r="W601" s="170">
        <f t="shared" si="183"/>
        <v>439.22094936318291</v>
      </c>
      <c r="X601" s="170">
        <f t="shared" si="184"/>
        <v>449.65748110542609</v>
      </c>
    </row>
    <row r="602" spans="18:26" x14ac:dyDescent="0.15">
      <c r="R602" s="166">
        <v>11</v>
      </c>
      <c r="S602" s="1">
        <f t="shared" si="185"/>
        <v>130.45664677803981</v>
      </c>
      <c r="T602" s="167">
        <f t="shared" si="186"/>
        <v>195.68497016705973</v>
      </c>
      <c r="U602" s="168">
        <f t="shared" si="188"/>
        <v>2.2576239309061052</v>
      </c>
      <c r="V602" s="169">
        <f t="shared" si="187"/>
        <v>10.436531742243185</v>
      </c>
      <c r="W602" s="170">
        <f t="shared" si="183"/>
        <v>441.7830715678013</v>
      </c>
      <c r="X602" s="170">
        <f t="shared" si="184"/>
        <v>452.21960331004448</v>
      </c>
    </row>
    <row r="603" spans="18:26" x14ac:dyDescent="0.15">
      <c r="R603" s="166">
        <v>12</v>
      </c>
      <c r="S603" s="1">
        <f t="shared" si="185"/>
        <v>130.45664677803981</v>
      </c>
      <c r="T603" s="167">
        <f t="shared" si="186"/>
        <v>195.68497016705973</v>
      </c>
      <c r="U603" s="168">
        <f t="shared" si="188"/>
        <v>2.2707934038363899</v>
      </c>
      <c r="V603" s="169">
        <f t="shared" si="187"/>
        <v>10.436531742243185</v>
      </c>
      <c r="W603" s="170">
        <f t="shared" si="183"/>
        <v>444.36013948528</v>
      </c>
      <c r="X603" s="170">
        <f t="shared" si="184"/>
        <v>454.79667122752318</v>
      </c>
    </row>
    <row r="604" spans="18:26" ht="16" x14ac:dyDescent="0.3">
      <c r="S604" s="118">
        <f>IF($C$17&gt;=S589,SUM(S592:S603),"")</f>
        <v>1565.4797613364778</v>
      </c>
      <c r="T604" s="119">
        <f>IF($C$17&gt;=S589,SUM(T592:T603),"")</f>
        <v>2348.2196420047167</v>
      </c>
      <c r="U604" s="163">
        <f>IF(Y605="",0,AVERAGE(U592:U603))</f>
        <v>2.1997434335713613</v>
      </c>
      <c r="V604" s="120">
        <f>IF($C$17&gt;=S589,SUM(V592:V603),"")</f>
        <v>125.23838090691824</v>
      </c>
      <c r="W604" s="121">
        <f>IF($C$17&gt;=S589,SUM(W592:W603),"")</f>
        <v>5165.480738083168</v>
      </c>
      <c r="X604" s="121">
        <f>IF($C$17&gt;=S589,SUM(X592:X603),"")</f>
        <v>5290.7191189900859</v>
      </c>
    </row>
    <row r="605" spans="18:26" x14ac:dyDescent="0.15">
      <c r="W605" s="156" t="s">
        <v>53</v>
      </c>
      <c r="X605" s="117">
        <f>IF(AND($D$38="Yes",$D$40+1=S589,$C$17&gt;=S589),$B$40,0)</f>
        <v>0</v>
      </c>
      <c r="Y605" s="142">
        <f>IF(X604="","",IF($D$38="No",X604,IF($D$38="Yes",X604-X605,X604)))</f>
        <v>5290.7191189900859</v>
      </c>
    </row>
    <row r="608" spans="18:26" ht="14" thickBot="1" x14ac:dyDescent="0.2"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5:47" ht="14" thickBot="1" x14ac:dyDescent="0.2">
      <c r="R609" s="148">
        <v>1</v>
      </c>
      <c r="S609" s="144">
        <v>2</v>
      </c>
      <c r="T609" s="144">
        <v>3</v>
      </c>
      <c r="U609" s="144">
        <v>4</v>
      </c>
      <c r="V609" s="144">
        <v>5</v>
      </c>
      <c r="W609" s="144">
        <v>6</v>
      </c>
      <c r="X609" s="144">
        <v>7</v>
      </c>
      <c r="Y609" s="144">
        <v>8</v>
      </c>
      <c r="Z609" s="144">
        <v>9</v>
      </c>
      <c r="AA609" s="144">
        <v>10</v>
      </c>
      <c r="AB609" s="144">
        <v>11</v>
      </c>
      <c r="AC609" s="144">
        <v>12</v>
      </c>
      <c r="AD609" s="144">
        <v>13</v>
      </c>
      <c r="AE609" s="144">
        <v>14</v>
      </c>
      <c r="AF609" s="144">
        <v>15</v>
      </c>
      <c r="AG609" s="144">
        <v>16</v>
      </c>
      <c r="AH609" s="144">
        <v>17</v>
      </c>
      <c r="AI609" s="144">
        <v>18</v>
      </c>
      <c r="AJ609" s="144">
        <v>19</v>
      </c>
      <c r="AK609" s="144">
        <v>20</v>
      </c>
      <c r="AL609" s="144">
        <v>21</v>
      </c>
      <c r="AM609" s="144">
        <v>22</v>
      </c>
      <c r="AN609" s="144">
        <v>23</v>
      </c>
      <c r="AO609" s="144">
        <v>24</v>
      </c>
      <c r="AP609" s="144">
        <v>25</v>
      </c>
      <c r="AQ609" s="144">
        <v>26</v>
      </c>
      <c r="AR609" s="144">
        <v>27</v>
      </c>
      <c r="AS609" s="144">
        <v>28</v>
      </c>
      <c r="AT609" s="144">
        <v>29</v>
      </c>
      <c r="AU609" s="144">
        <v>30</v>
      </c>
    </row>
    <row r="610" spans="15:47" x14ac:dyDescent="0.15">
      <c r="O610" s="288" t="s">
        <v>73</v>
      </c>
      <c r="P610" s="288"/>
      <c r="Q610" s="288"/>
      <c r="R610" s="178">
        <f>Y83</f>
        <v>905.23999999999967</v>
      </c>
      <c r="S610" s="145">
        <f>Y101</f>
        <v>932.21022167786623</v>
      </c>
      <c r="T610" s="145">
        <f>Y119</f>
        <v>986.78243540827327</v>
      </c>
      <c r="U610" s="145">
        <f>Y137</f>
        <v>1045.1535827690784</v>
      </c>
      <c r="V610" s="145">
        <f>Y155</f>
        <v>1107.5859799361872</v>
      </c>
      <c r="W610" s="145">
        <f>Y173</f>
        <v>1174.3600623710731</v>
      </c>
      <c r="X610" s="145">
        <f>Y191</f>
        <v>1245.775636377208</v>
      </c>
      <c r="Y610" s="145">
        <f>Y209</f>
        <v>1322.1532171055187</v>
      </c>
      <c r="Z610" s="145">
        <f>Y227</f>
        <v>1403.8354589801797</v>
      </c>
      <c r="AA610" s="145">
        <f>Y245</f>
        <v>1491.1886849285074</v>
      </c>
      <c r="AB610" s="145">
        <f>Y263</f>
        <v>1584.6045212396764</v>
      </c>
      <c r="AC610" s="145">
        <f>Y281</f>
        <v>1684.501645348382</v>
      </c>
      <c r="AD610" s="145">
        <f>Y299</f>
        <v>1791.3276543435252</v>
      </c>
      <c r="AE610" s="145">
        <f>Y317</f>
        <v>1905.5610625408056</v>
      </c>
      <c r="AF610" s="145">
        <f>Y335</f>
        <v>2027.7134370340618</v>
      </c>
      <c r="AG610" s="145">
        <f>Y353</f>
        <v>1358.3316807559995</v>
      </c>
      <c r="AH610" s="145">
        <f>Y371</f>
        <v>2298.0004732372636</v>
      </c>
      <c r="AI610" s="145">
        <f>Y389</f>
        <v>2447.3448799565767</v>
      </c>
      <c r="AJ610" s="145">
        <f>Y407</f>
        <v>2607.0331419270615</v>
      </c>
      <c r="AK610" s="145">
        <f>Y425</f>
        <v>2777.7796579682636</v>
      </c>
      <c r="AL610" s="145">
        <f>Y443</f>
        <v>2960.348172973273</v>
      </c>
      <c r="AM610" s="145">
        <f>Y461</f>
        <v>3155.5551863996911</v>
      </c>
      <c r="AN610" s="145">
        <f>Y479</f>
        <v>3364.2735961960225</v>
      </c>
      <c r="AO610" s="145">
        <f>Y497</f>
        <v>3587.4365944257547</v>
      </c>
      <c r="AP610" s="145">
        <f>Y515</f>
        <v>3826.0418319747114</v>
      </c>
      <c r="AQ610" s="145">
        <f>Y533</f>
        <v>4081.1558709281117</v>
      </c>
      <c r="AR610" s="145">
        <f>Y551</f>
        <v>4353.9189444876138</v>
      </c>
      <c r="AS610" s="145">
        <f>Y569</f>
        <v>4645.5500456711025</v>
      </c>
      <c r="AT610" s="145">
        <f>Y587</f>
        <v>4957.3523675053229</v>
      </c>
      <c r="AU610" s="145">
        <f>Y605</f>
        <v>5290.7191189900859</v>
      </c>
    </row>
    <row r="611" spans="15:47" x14ac:dyDescent="0.15">
      <c r="O611" s="288" t="s">
        <v>75</v>
      </c>
      <c r="P611" s="288"/>
      <c r="Q611" s="288"/>
      <c r="R611" s="179">
        <f t="shared" ref="R611:AU611" si="189">IF(AND($F$21&gt;=R609,R610&gt;0),R610-$X$64*12,R610)</f>
        <v>-462.43129918140301</v>
      </c>
      <c r="S611" s="176">
        <f t="shared" si="189"/>
        <v>-435.46107750353644</v>
      </c>
      <c r="T611" s="176">
        <f t="shared" si="189"/>
        <v>-380.8888637731294</v>
      </c>
      <c r="U611" s="176">
        <f t="shared" si="189"/>
        <v>-322.51771641232426</v>
      </c>
      <c r="V611" s="176">
        <f t="shared" si="189"/>
        <v>-260.08531924521549</v>
      </c>
      <c r="W611" s="176">
        <f t="shared" si="189"/>
        <v>-193.31123681032955</v>
      </c>
      <c r="X611" s="176">
        <f t="shared" si="189"/>
        <v>1245.775636377208</v>
      </c>
      <c r="Y611" s="176">
        <f t="shared" si="189"/>
        <v>1322.1532171055187</v>
      </c>
      <c r="Z611" s="176">
        <f t="shared" si="189"/>
        <v>1403.8354589801797</v>
      </c>
      <c r="AA611" s="176">
        <f t="shared" si="189"/>
        <v>1491.1886849285074</v>
      </c>
      <c r="AB611" s="176">
        <f t="shared" si="189"/>
        <v>1584.6045212396764</v>
      </c>
      <c r="AC611" s="176">
        <f t="shared" si="189"/>
        <v>1684.501645348382</v>
      </c>
      <c r="AD611" s="176">
        <f t="shared" si="189"/>
        <v>1791.3276543435252</v>
      </c>
      <c r="AE611" s="176">
        <f t="shared" si="189"/>
        <v>1905.5610625408056</v>
      </c>
      <c r="AF611" s="176">
        <f t="shared" si="189"/>
        <v>2027.7134370340618</v>
      </c>
      <c r="AG611" s="176">
        <f t="shared" si="189"/>
        <v>1358.3316807559995</v>
      </c>
      <c r="AH611" s="176">
        <f t="shared" si="189"/>
        <v>2298.0004732372636</v>
      </c>
      <c r="AI611" s="176">
        <f t="shared" si="189"/>
        <v>2447.3448799565767</v>
      </c>
      <c r="AJ611" s="176">
        <f t="shared" si="189"/>
        <v>2607.0331419270615</v>
      </c>
      <c r="AK611" s="176">
        <f t="shared" si="189"/>
        <v>2777.7796579682636</v>
      </c>
      <c r="AL611" s="176">
        <f t="shared" si="189"/>
        <v>2960.348172973273</v>
      </c>
      <c r="AM611" s="176">
        <f t="shared" si="189"/>
        <v>3155.5551863996911</v>
      </c>
      <c r="AN611" s="176">
        <f t="shared" si="189"/>
        <v>3364.2735961960225</v>
      </c>
      <c r="AO611" s="176">
        <f t="shared" si="189"/>
        <v>3587.4365944257547</v>
      </c>
      <c r="AP611" s="176">
        <f t="shared" si="189"/>
        <v>3826.0418319747114</v>
      </c>
      <c r="AQ611" s="176">
        <f t="shared" si="189"/>
        <v>4081.1558709281117</v>
      </c>
      <c r="AR611" s="176">
        <f t="shared" si="189"/>
        <v>4353.9189444876138</v>
      </c>
      <c r="AS611" s="176">
        <f t="shared" si="189"/>
        <v>4645.5500456711025</v>
      </c>
      <c r="AT611" s="176">
        <f t="shared" si="189"/>
        <v>4957.3523675053229</v>
      </c>
      <c r="AU611" s="176">
        <f t="shared" si="189"/>
        <v>5290.7191189900859</v>
      </c>
    </row>
    <row r="612" spans="15:47" x14ac:dyDescent="0.15">
      <c r="O612" s="289" t="s">
        <v>74</v>
      </c>
      <c r="P612" s="289"/>
      <c r="Q612" s="289"/>
      <c r="R612" s="177">
        <f>SUM(R610:AU610)</f>
        <v>72318.835163457203</v>
      </c>
      <c r="X612" s="117"/>
    </row>
    <row r="613" spans="15:47" x14ac:dyDescent="0.15">
      <c r="O613" s="288" t="s">
        <v>54</v>
      </c>
      <c r="P613" s="288"/>
      <c r="Q613" s="150">
        <f>-D9</f>
        <v>-6685</v>
      </c>
      <c r="R613" s="150">
        <f>R610</f>
        <v>905.23999999999967</v>
      </c>
      <c r="S613" s="150">
        <f t="shared" ref="S613:AU613" si="190">S610</f>
        <v>932.21022167786623</v>
      </c>
      <c r="T613" s="150">
        <f t="shared" si="190"/>
        <v>986.78243540827327</v>
      </c>
      <c r="U613" s="150">
        <f t="shared" si="190"/>
        <v>1045.1535827690784</v>
      </c>
      <c r="V613" s="150">
        <f t="shared" si="190"/>
        <v>1107.5859799361872</v>
      </c>
      <c r="W613" s="150">
        <f t="shared" si="190"/>
        <v>1174.3600623710731</v>
      </c>
      <c r="X613" s="150">
        <f t="shared" si="190"/>
        <v>1245.775636377208</v>
      </c>
      <c r="Y613" s="150">
        <f t="shared" si="190"/>
        <v>1322.1532171055187</v>
      </c>
      <c r="Z613" s="150">
        <f t="shared" si="190"/>
        <v>1403.8354589801797</v>
      </c>
      <c r="AA613" s="150">
        <f t="shared" si="190"/>
        <v>1491.1886849285074</v>
      </c>
      <c r="AB613" s="150">
        <f t="shared" si="190"/>
        <v>1584.6045212396764</v>
      </c>
      <c r="AC613" s="150">
        <f t="shared" si="190"/>
        <v>1684.501645348382</v>
      </c>
      <c r="AD613" s="150">
        <f t="shared" si="190"/>
        <v>1791.3276543435252</v>
      </c>
      <c r="AE613" s="150">
        <f t="shared" si="190"/>
        <v>1905.5610625408056</v>
      </c>
      <c r="AF613" s="150">
        <f t="shared" si="190"/>
        <v>2027.7134370340618</v>
      </c>
      <c r="AG613" s="150">
        <f t="shared" si="190"/>
        <v>1358.3316807559995</v>
      </c>
      <c r="AH613" s="150">
        <f t="shared" si="190"/>
        <v>2298.0004732372636</v>
      </c>
      <c r="AI613" s="150">
        <f t="shared" si="190"/>
        <v>2447.3448799565767</v>
      </c>
      <c r="AJ613" s="150">
        <f t="shared" si="190"/>
        <v>2607.0331419270615</v>
      </c>
      <c r="AK613" s="150">
        <f t="shared" si="190"/>
        <v>2777.7796579682636</v>
      </c>
      <c r="AL613" s="150">
        <f t="shared" si="190"/>
        <v>2960.348172973273</v>
      </c>
      <c r="AM613" s="150">
        <f t="shared" si="190"/>
        <v>3155.5551863996911</v>
      </c>
      <c r="AN613" s="150">
        <f t="shared" si="190"/>
        <v>3364.2735961960225</v>
      </c>
      <c r="AO613" s="150">
        <f t="shared" si="190"/>
        <v>3587.4365944257547</v>
      </c>
      <c r="AP613" s="150">
        <f t="shared" si="190"/>
        <v>3826.0418319747114</v>
      </c>
      <c r="AQ613" s="150">
        <f t="shared" si="190"/>
        <v>4081.1558709281117</v>
      </c>
      <c r="AR613" s="150">
        <f t="shared" si="190"/>
        <v>4353.9189444876138</v>
      </c>
      <c r="AS613" s="150">
        <f t="shared" si="190"/>
        <v>4645.5500456711025</v>
      </c>
      <c r="AT613" s="150">
        <f t="shared" si="190"/>
        <v>4957.3523675053229</v>
      </c>
      <c r="AU613" s="150">
        <f t="shared" si="190"/>
        <v>5290.7191189900859</v>
      </c>
    </row>
    <row r="614" spans="15:47" x14ac:dyDescent="0.15">
      <c r="O614" s="288" t="s">
        <v>55</v>
      </c>
      <c r="P614" s="288"/>
      <c r="Q614" s="288"/>
      <c r="R614" s="151">
        <f>IF($F$45&gt;=0,1,IF($F$45&lt;=R610,1,0))</f>
        <v>1</v>
      </c>
      <c r="S614" s="151">
        <f>IF(AND($F$45&gt;=SUM($R$610:R610),$F$45&lt;=SUM($R$610:S610)),0,IF(AND($F$45&gt;=SUM($R$610:R610),$F$45&gt;=SUM($R$610:S610)),1,0))</f>
        <v>1</v>
      </c>
      <c r="T614" s="151">
        <f>IF(AND($F$45&gt;=SUM($R$610:S610),$F$45&lt;=SUM($R$610:T610)),0,IF(AND($F$45&gt;=SUM($R$610:S610),$F$45&gt;=SUM($R$610:T610)),1,0))</f>
        <v>1</v>
      </c>
      <c r="U614" s="151">
        <f>IF(AND($F$45&gt;=SUM($R$610:T610),$F$45&lt;=SUM($R$610:U610)),0,IF(AND($F$45&gt;=SUM($R$610:T610),$F$45&gt;=SUM($R$610:U610)),1,0))</f>
        <v>1</v>
      </c>
      <c r="V614" s="151">
        <f>IF(AND($F$45&gt;=SUM($R$610:U610),$F$45&lt;=SUM($R$610:V610)),0,IF(AND($F$45&gt;=SUM($R$610:U610),$F$45&gt;=SUM($R$610:V610)),1,0))</f>
        <v>1</v>
      </c>
      <c r="W614" s="151">
        <f>IF(AND($F$45&gt;=SUM($R$610:V610),$F$45&lt;=SUM($R$610:W610)),0,IF(AND($F$45&gt;=SUM($R$610:V610),$F$45&gt;=SUM($R$610:W610)),1,0))</f>
        <v>1</v>
      </c>
      <c r="X614" s="151">
        <f>IF(AND($F$45&gt;=SUM($R$610:W610),$F$45&lt;=SUM($R$610:X610)),0,IF(AND($F$45&gt;=SUM($R$610:W610),$F$45&gt;=SUM($R$610:X610)),1,0))</f>
        <v>1</v>
      </c>
      <c r="Y614" s="151">
        <f>IF(AND($F$45&gt;=SUM($R$610:X610),$F$45&lt;=SUM($R$610:Y610)),0,IF(AND($F$45&gt;=SUM($R$610:X610),$F$45&gt;=SUM($R$610:Y610)),1,0))</f>
        <v>1</v>
      </c>
      <c r="Z614" s="151">
        <f>IF(AND($F$45&gt;=SUM($R$610:Y610),$F$45&lt;=SUM($R$610:Z610)),0,IF(AND($F$45&gt;=SUM($R$610:Y610),$F$45&gt;=SUM($R$610:Z610)),1,0))</f>
        <v>0</v>
      </c>
      <c r="AA614" s="151">
        <f>IF(AND($F$45&gt;=SUM($R$610:Z610),$F$45&lt;=SUM($R$610:AA610)),0,IF(AND($F$45&gt;=SUM($R$610:Z610),$F$45&gt;=SUM($R$610:AA610)),1,0))</f>
        <v>0</v>
      </c>
      <c r="AB614" s="151">
        <f>IF(AND($F$45&gt;=SUM($R$610:AA610),$F$45&lt;=SUM($R$610:AB610)),0,IF(AND($F$45&gt;=SUM($R$610:AA610),$F$45&gt;=SUM($R$610:AB610)),1,0))</f>
        <v>0</v>
      </c>
      <c r="AC614" s="151">
        <f>IF(AND($F$45&gt;=SUM($R$610:AB610),$F$45&lt;=SUM($R$610:AC610)),0,IF(AND($F$45&gt;=SUM($R$610:AB610),$F$45&gt;=SUM($R$610:AC610)),1,0))</f>
        <v>0</v>
      </c>
      <c r="AD614" s="151">
        <f>IF(AND($F$45&gt;=SUM($R$610:AC610),$F$45&lt;=SUM($R$610:AD610)),0,IF(AND($F$45&gt;=SUM($R$610:AC610),$F$45&gt;=SUM($R$610:AD610)),1,0))</f>
        <v>0</v>
      </c>
      <c r="AE614" s="151">
        <f>IF(AND($F$45&gt;=SUM($R$610:AD610),$F$45&lt;=SUM($R$610:AE610)),0,IF(AND($F$45&gt;=SUM($R$610:AD610),$F$45&gt;=SUM($R$610:AE610)),1,0))</f>
        <v>0</v>
      </c>
      <c r="AF614" s="151">
        <f>IF(AND($F$45&gt;=SUM($R$610:AE610),$F$45&lt;=SUM($R$610:AF610)),0,IF(AND($F$45&gt;=SUM($R$610:AE610),$F$45&gt;=SUM($R$610:AF610)),1,0))</f>
        <v>0</v>
      </c>
      <c r="AG614" s="151">
        <f>IF(AND($F$45&gt;=SUM($R$610:AF610),$F$45&lt;=SUM($R$610:AG610)),0,IF(AND($F$45&gt;=SUM($R$610:AF610),$F$45&gt;=SUM($R$610:AG610)),1,0))</f>
        <v>0</v>
      </c>
      <c r="AH614" s="151">
        <f>IF(AND($F$45&gt;=SUM($R$610:AG610),$F$45&lt;=SUM($R$610:AH610)),0,IF(AND($F$45&gt;=SUM($R$610:AG610),$F$45&gt;=SUM($R$610:AH610)),1,0))</f>
        <v>0</v>
      </c>
      <c r="AI614" s="151">
        <f>IF(AND($F$45&gt;=SUM($R$610:AH610),$F$45&lt;=SUM($R$610:AI610)),0,IF(AND($F$45&gt;=SUM($R$610:AH610),$F$45&gt;=SUM($R$610:AI610)),1,0))</f>
        <v>0</v>
      </c>
      <c r="AJ614" s="151">
        <f>IF(AND($F$45&gt;=SUM($R$610:AI610),$F$45&lt;=SUM($R$610:AJ610)),0,IF(AND($F$45&gt;=SUM($R$610:AI610),$F$45&gt;=SUM($R$610:AJ610)),1,0))</f>
        <v>0</v>
      </c>
      <c r="AK614" s="151">
        <f>IF(AND($F$45&gt;=SUM($R$610:AJ610),$F$45&lt;=SUM($R$610:AK610)),0,IF(AND($F$45&gt;=SUM($R$610:AJ610),$F$45&gt;=SUM($R$610:AK610)),1,0))</f>
        <v>0</v>
      </c>
      <c r="AL614" s="151">
        <f>IF(AND($F$45&gt;=SUM($R$610:AK610),$F$45&lt;=SUM($R$610:AL610)),0,IF(AND($F$45&gt;=SUM($R$610:AK610),$F$45&gt;=SUM($R$610:AL610)),1,0))</f>
        <v>0</v>
      </c>
      <c r="AM614" s="151">
        <f>IF(AND($F$45&gt;=SUM($R$610:AL610),$F$45&lt;=SUM($R$610:AM610)),0,IF(AND($F$45&gt;=SUM($R$610:AL610),$F$45&gt;=SUM($R$610:AM610)),1,0))</f>
        <v>0</v>
      </c>
      <c r="AN614" s="151">
        <f>IF(AND($F$45&gt;=SUM($R$610:AM610),$F$45&lt;=SUM($R$610:AN610)),0,IF(AND($F$45&gt;=SUM($R$610:AM610),$F$45&gt;=SUM($R$610:AN610)),1,0))</f>
        <v>0</v>
      </c>
      <c r="AO614" s="151">
        <f>IF(AND($F$45&gt;=SUM($R$610:AN610),$F$45&lt;=SUM($R$610:AO610)),0,IF(AND($F$45&gt;=SUM($R$610:AN610),$F$45&gt;=SUM($R$610:AO610)),1,0))</f>
        <v>0</v>
      </c>
      <c r="AP614" s="151">
        <f>IF(AND($F$45&gt;=SUM($R$610:AO610),$F$45&lt;=SUM($R$610:AP610)),0,IF(AND($F$45&gt;=SUM($R$610:AO610),$F$45&gt;=SUM($R$610:AP610)),1,0))</f>
        <v>0</v>
      </c>
      <c r="AQ614" s="151">
        <f>IF(AND($F$45&gt;=SUM($R$610:AP610),$F$45&lt;=SUM($R$610:AQ610)),0,IF(AND($F$45&gt;=SUM($R$610:AP610),$F$45&gt;=SUM($R$610:AQ610)),1,0))</f>
        <v>0</v>
      </c>
      <c r="AR614" s="151">
        <f>IF(AND($F$45&gt;=SUM($R$610:AQ610),$F$45&lt;=SUM($R$610:AR610)),0,IF(AND($F$45&gt;=SUM($R$610:AQ610),$F$45&gt;=SUM($R$610:AR610)),1,0))</f>
        <v>0</v>
      </c>
      <c r="AS614" s="151">
        <f>IF(AND($F$45&gt;=SUM($R$610:AR610),$F$45&lt;=SUM($R$610:AS610)),0,IF(AND($F$45&gt;=SUM($R$610:AR610),$F$45&gt;=SUM($R$610:AS610)),1,0))</f>
        <v>0</v>
      </c>
      <c r="AT614" s="151">
        <f>IF(AND($F$45&gt;=SUM($R$610:AS610),$F$45&lt;=SUM($R$610:AT610)),0,IF(AND($F$45&gt;=SUM($R$610:AS610),$F$45&gt;=SUM($R$610:AT610)),1,0))</f>
        <v>0</v>
      </c>
      <c r="AU614" s="151">
        <f>IF(AND($F$45&gt;=SUM($R$610:AT610),$F$45&lt;=SUM($R$610:AU610)),0,IF(AND($F$45&gt;=SUM($R$610:AT610),$F$45&gt;=SUM($R$610:AU610)),1,0))</f>
        <v>0</v>
      </c>
    </row>
    <row r="615" spans="15:47" x14ac:dyDescent="0.15">
      <c r="R615" s="109"/>
    </row>
  </sheetData>
  <mergeCells count="32">
    <mergeCell ref="O613:P613"/>
    <mergeCell ref="O611:Q611"/>
    <mergeCell ref="O610:Q610"/>
    <mergeCell ref="O612:Q612"/>
    <mergeCell ref="A49:E49"/>
    <mergeCell ref="A51:E51"/>
    <mergeCell ref="A53:E53"/>
    <mergeCell ref="A55:E55"/>
    <mergeCell ref="A45:E45"/>
    <mergeCell ref="A47:E47"/>
    <mergeCell ref="A38:C38"/>
    <mergeCell ref="A27:B27"/>
    <mergeCell ref="A36:B36"/>
    <mergeCell ref="E34:F34"/>
    <mergeCell ref="A29:B29"/>
    <mergeCell ref="A31:B31"/>
    <mergeCell ref="O614:Q614"/>
    <mergeCell ref="A19:B19"/>
    <mergeCell ref="A21:B21"/>
    <mergeCell ref="A23:G23"/>
    <mergeCell ref="A1:G2"/>
    <mergeCell ref="N5:AI5"/>
    <mergeCell ref="Q6:AF6"/>
    <mergeCell ref="AG6:AI6"/>
    <mergeCell ref="A3:G3"/>
    <mergeCell ref="A9:C10"/>
    <mergeCell ref="D9:D10"/>
    <mergeCell ref="A12:C12"/>
    <mergeCell ref="A14:B15"/>
    <mergeCell ref="C14:C15"/>
    <mergeCell ref="A17:B17"/>
    <mergeCell ref="A25:B25"/>
  </mergeCells>
  <phoneticPr fontId="3" type="noConversion"/>
  <dataValidations count="4">
    <dataValidation type="list" allowBlank="1" showInputMessage="1" showErrorMessage="1" sqref="B34" xr:uid="{00000000-0002-0000-0200-000000000000}">
      <formula1>$N$7:$N$9</formula1>
    </dataValidation>
    <dataValidation type="list" allowBlank="1" showInputMessage="1" showErrorMessage="1" sqref="B5" xr:uid="{00000000-0002-0000-0200-000001000000}">
      <formula1>$O$7:$O$15</formula1>
    </dataValidation>
    <dataValidation type="list" allowBlank="1" showInputMessage="1" showErrorMessage="1" sqref="B7" xr:uid="{00000000-0002-0000-0200-000002000000}">
      <formula1>$P$7:$P$17</formula1>
    </dataValidation>
    <dataValidation type="list" allowBlank="1" showInputMessage="1" showErrorMessage="1" sqref="D38" xr:uid="{00000000-0002-0000-0200-000003000000}">
      <formula1>$N$8:$N$9</formula1>
    </dataValidation>
  </dataValidation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 Cash</vt:lpstr>
      <vt:lpstr>Add to Mortgage</vt:lpstr>
      <vt:lpstr>Finance with Loan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finn peacock</cp:lastModifiedBy>
  <cp:lastPrinted>2014-12-20T05:14:12Z</cp:lastPrinted>
  <dcterms:created xsi:type="dcterms:W3CDTF">2014-08-26T00:40:36Z</dcterms:created>
  <dcterms:modified xsi:type="dcterms:W3CDTF">2018-06-21T13:11:31Z</dcterms:modified>
</cp:coreProperties>
</file>